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4-25\"/>
    </mc:Choice>
  </mc:AlternateContent>
  <workbookProtection lockStructure="1"/>
  <bookViews>
    <workbookView xWindow="-105" yWindow="-105" windowWidth="19425" windowHeight="10305"/>
  </bookViews>
  <sheets>
    <sheet name="MASTER" sheetId="9" r:id="rId1"/>
    <sheet name="GA-55" sheetId="2" r:id="rId2"/>
    <sheet name="Other Deduction" sheetId="1" r:id="rId3"/>
    <sheet name="Tax Old Regime" sheetId="3" r:id="rId4"/>
    <sheet name="Tax New Regime" sheetId="8" r:id="rId5"/>
  </sheets>
  <definedNames>
    <definedName name="_tds1" localSheetId="4">#REF!</definedName>
    <definedName name="_tds1">#REF!</definedName>
    <definedName name="_tds2" localSheetId="4">#REF!</definedName>
    <definedName name="_tds2">#REF!</definedName>
    <definedName name="AIR.Code001" localSheetId="4">#REF!</definedName>
    <definedName name="AIR.Code001">#REF!</definedName>
    <definedName name="AIR.Code002" localSheetId="4">#REF!</definedName>
    <definedName name="AIR.Code002">#REF!</definedName>
    <definedName name="AIR.Code003" localSheetId="4">#REF!</definedName>
    <definedName name="AIR.Code003">#REF!</definedName>
    <definedName name="AIR.Code004" localSheetId="4">#REF!</definedName>
    <definedName name="AIR.Code004">#REF!</definedName>
    <definedName name="AIR.Code005" localSheetId="4">#REF!</definedName>
    <definedName name="AIR.Code005">#REF!</definedName>
    <definedName name="AIR.Code006" localSheetId="4">#REF!</definedName>
    <definedName name="AIR.Code006">#REF!</definedName>
    <definedName name="AIR.Code007" localSheetId="4">#REF!</definedName>
    <definedName name="AIR.Code007">#REF!</definedName>
    <definedName name="AIR.Code008" localSheetId="4">#REF!</definedName>
    <definedName name="AIR.Code008">#REF!</definedName>
    <definedName name="AIR.TaxExmpIntInc" localSheetId="4">#REF!</definedName>
    <definedName name="AIR.TaxExmpIntInc">#REF!</definedName>
    <definedName name="Bank1" localSheetId="4">#REF!</definedName>
    <definedName name="Bank1">#REF!</definedName>
    <definedName name="Bank10" localSheetId="4">#REF!</definedName>
    <definedName name="Bank10">#REF!</definedName>
    <definedName name="Bank11" localSheetId="4">#REF!</definedName>
    <definedName name="Bank11">#REF!</definedName>
    <definedName name="Bank12" localSheetId="4">#REF!</definedName>
    <definedName name="Bank12">#REF!</definedName>
    <definedName name="Bank2" localSheetId="4">#REF!</definedName>
    <definedName name="Bank2">#REF!</definedName>
    <definedName name="Bank3" localSheetId="4">#REF!</definedName>
    <definedName name="Bank3">#REF!</definedName>
    <definedName name="Bank4" localSheetId="4">#REF!</definedName>
    <definedName name="Bank4">#REF!</definedName>
    <definedName name="Bank5" localSheetId="4">#REF!</definedName>
    <definedName name="Bank5">#REF!</definedName>
    <definedName name="Bank6" localSheetId="4">#REF!</definedName>
    <definedName name="Bank6">#REF!</definedName>
    <definedName name="Bank6PCAR" localSheetId="4">#REF!</definedName>
    <definedName name="Bank6PCAR">#REF!</definedName>
    <definedName name="Bank7" localSheetId="4">#REF!</definedName>
    <definedName name="Bank7">#REF!</definedName>
    <definedName name="Bank8" localSheetId="4">#REF!</definedName>
    <definedName name="Bank8">#REF!</definedName>
    <definedName name="Bank9" localSheetId="4">#REF!</definedName>
    <definedName name="Bank9">#REF!</definedName>
    <definedName name="BankAccNo" localSheetId="4">#REF!</definedName>
    <definedName name="BankAccNo">#REF!</definedName>
    <definedName name="BankArrear" localSheetId="4">#REF!</definedName>
    <definedName name="BankArrear">#REF!</definedName>
    <definedName name="BankArrear0" localSheetId="4">#REF!</definedName>
    <definedName name="BankArrear0">#REF!</definedName>
    <definedName name="BankArrear1" localSheetId="4">#REF!</definedName>
    <definedName name="BankArrear1">#REF!</definedName>
    <definedName name="BankArrear2" localSheetId="4">#REF!</definedName>
    <definedName name="BankArrear2">#REF!</definedName>
    <definedName name="BankArrear3" localSheetId="4">#REF!</definedName>
    <definedName name="BankArrear3">#REF!</definedName>
    <definedName name="BankBonus" localSheetId="4">#REF!</definedName>
    <definedName name="BankBonus">#REF!</definedName>
    <definedName name="BankDA10" localSheetId="4">#REF!</definedName>
    <definedName name="BankDA10">#REF!</definedName>
    <definedName name="BankDA5" localSheetId="4">#REF!</definedName>
    <definedName name="BankDA5">#REF!</definedName>
    <definedName name="BankDA6" localSheetId="4">#REF!</definedName>
    <definedName name="BankDA6">#REF!</definedName>
    <definedName name="BankDA8" localSheetId="4">#REF!</definedName>
    <definedName name="BankDA8">#REF!</definedName>
    <definedName name="BankPL" localSheetId="4">#REF!</definedName>
    <definedName name="BankPL">#REF!</definedName>
    <definedName name="cmb_IncD.BankAccountType" localSheetId="4">#REF!</definedName>
    <definedName name="cmb_IncD.BankAccountType">#REF!</definedName>
    <definedName name="cmb_IncD.EcsRequired" localSheetId="4">#REF!</definedName>
    <definedName name="cmb_IncD.EcsRequired">#REF!</definedName>
    <definedName name="cmb_TDSal.StateCode" localSheetId="4">#REF!</definedName>
    <definedName name="cmb_TDSal.StateCode">#REF!</definedName>
    <definedName name="cmb_TDSoth.StateCode" localSheetId="4">#REF!</definedName>
    <definedName name="cmb_TDSoth.StateCode">#REF!</definedName>
    <definedName name="i_general" localSheetId="4">#REF!</definedName>
    <definedName name="i_general">#REF!</definedName>
    <definedName name="i_general2" localSheetId="4">#REF!</definedName>
    <definedName name="i_general2">#REF!</definedName>
    <definedName name="i_tds" localSheetId="4">#REF!</definedName>
    <definedName name="i_tds">#REF!</definedName>
    <definedName name="IncD.AdvanceTax" localSheetId="4">#REF!</definedName>
    <definedName name="IncD.AdvanceTax">#REF!</definedName>
    <definedName name="IncD.AggregateIncome" localSheetId="4">#REF!</definedName>
    <definedName name="IncD.AggregateIncome">#REF!</definedName>
    <definedName name="IncD.BalTaxPayable" localSheetId="4">#REF!</definedName>
    <definedName name="IncD.BalTaxPayable">#REF!</definedName>
    <definedName name="IncD.BankAccountNumber" localSheetId="4">#REF!</definedName>
    <definedName name="IncD.BankAccountNumber">#REF!</definedName>
    <definedName name="IncD.BankAccountType" localSheetId="4">#REF!</definedName>
    <definedName name="IncD.BankAccountType">#REF!</definedName>
    <definedName name="IncD.EcsRequired" localSheetId="4">#REF!</definedName>
    <definedName name="IncD.EcsRequired">#REF!</definedName>
    <definedName name="IncD.EducationCess" localSheetId="4">#REF!</definedName>
    <definedName name="IncD.EducationCess">#REF!</definedName>
    <definedName name="IncD.FamPension" localSheetId="4">#REF!</definedName>
    <definedName name="IncD.FamPension">#REF!</definedName>
    <definedName name="IncD.GrossTaxLiability" localSheetId="4">#REF!</definedName>
    <definedName name="IncD.GrossTaxLiability">#REF!</definedName>
    <definedName name="IncD.GrossTotIncome" localSheetId="4">#REF!</definedName>
    <definedName name="IncD.GrossTotIncome">#REF!</definedName>
    <definedName name="IncD.IncomeFromOS" localSheetId="4">#REF!</definedName>
    <definedName name="IncD.IncomeFromOS">#REF!</definedName>
    <definedName name="IncD.IncomeFromSal" localSheetId="4">#REF!</definedName>
    <definedName name="IncD.IncomeFromSal">#REF!</definedName>
    <definedName name="IncD.IndInterest" localSheetId="4">#REF!</definedName>
    <definedName name="IncD.IndInterest">#REF!</definedName>
    <definedName name="IncD.IntrstPayUs234A" localSheetId="4">#REF!</definedName>
    <definedName name="IncD.IntrstPayUs234A">#REF!</definedName>
    <definedName name="IncD.IntrstPayUs234B" localSheetId="4">#REF!</definedName>
    <definedName name="IncD.IntrstPayUs234B">#REF!</definedName>
    <definedName name="IncD.IntrstPayUs234C" localSheetId="4">#REF!</definedName>
    <definedName name="IncD.IntrstPayUs234C">#REF!</definedName>
    <definedName name="IncD.MICRCode" localSheetId="4">#REF!</definedName>
    <definedName name="IncD.MICRCode">#REF!</definedName>
    <definedName name="IncD.NetAgriculturalIncome" localSheetId="4">#REF!</definedName>
    <definedName name="IncD.NetAgriculturalIncome">#REF!</definedName>
    <definedName name="IncD.NetTaxLiability" localSheetId="4">#REF!</definedName>
    <definedName name="IncD.NetTaxLiability">#REF!</definedName>
    <definedName name="IncD.RebateOnAgriInc" localSheetId="4">#REF!</definedName>
    <definedName name="IncD.RebateOnAgriInc">#REF!</definedName>
    <definedName name="IncD.RefundDue" localSheetId="4">#REF!</definedName>
    <definedName name="IncD.RefundDue">#REF!</definedName>
    <definedName name="IncD.Section80C" localSheetId="4">#REF!</definedName>
    <definedName name="IncD.Section80C">#REF!</definedName>
    <definedName name="IncD.Section80CCC" localSheetId="4">#REF!</definedName>
    <definedName name="IncD.Section80CCC">#REF!</definedName>
    <definedName name="IncD.Section80CCD" localSheetId="4">#REF!</definedName>
    <definedName name="IncD.Section80CCD">#REF!</definedName>
    <definedName name="IncD.Section80D" localSheetId="4">#REF!</definedName>
    <definedName name="IncD.Section80D">#REF!</definedName>
    <definedName name="IncD.Section80DD" localSheetId="4">#REF!</definedName>
    <definedName name="IncD.Section80DD">#REF!</definedName>
    <definedName name="IncD.Section80DDB" localSheetId="4">#REF!</definedName>
    <definedName name="IncD.Section80DDB">#REF!</definedName>
    <definedName name="IncD.Section80E" localSheetId="4">#REF!</definedName>
    <definedName name="IncD.Section80E">#REF!</definedName>
    <definedName name="IncD.Section80G" localSheetId="4">#REF!</definedName>
    <definedName name="IncD.Section80G">#REF!</definedName>
    <definedName name="IncD.Section80GG" localSheetId="4">#REF!</definedName>
    <definedName name="IncD.Section80GG">#REF!</definedName>
    <definedName name="IncD.Section80GGA" localSheetId="4">#REF!</definedName>
    <definedName name="IncD.Section80GGA">#REF!</definedName>
    <definedName name="IncD.Section80GGC" localSheetId="4">#REF!</definedName>
    <definedName name="IncD.Section80GGC">#REF!</definedName>
    <definedName name="IncD.Section80U" localSheetId="4">#REF!</definedName>
    <definedName name="IncD.Section80U">#REF!</definedName>
    <definedName name="IncD.Section89" localSheetId="4">#REF!</definedName>
    <definedName name="IncD.Section89">#REF!</definedName>
    <definedName name="IncD.Section90and91" localSheetId="4">#REF!</definedName>
    <definedName name="IncD.Section90and91">#REF!</definedName>
    <definedName name="IncD.SelfAssessmentTax" localSheetId="4">#REF!</definedName>
    <definedName name="IncD.SelfAssessmentTax">#REF!</definedName>
    <definedName name="IncD.SurchargeOnTaxPayable" localSheetId="4">#REF!</definedName>
    <definedName name="IncD.SurchargeOnTaxPayable">#REF!</definedName>
    <definedName name="IncD.TaxOnAggregateInc" localSheetId="4">#REF!</definedName>
    <definedName name="IncD.TaxOnAggregateInc">#REF!</definedName>
    <definedName name="IncD.TDS" localSheetId="4">#REF!</definedName>
    <definedName name="IncD.TDS">#REF!</definedName>
    <definedName name="IncD.TotalChapVIADeductions" localSheetId="4">#REF!</definedName>
    <definedName name="IncD.TotalChapVIADeductions">#REF!</definedName>
    <definedName name="IncD.TotalIncome" localSheetId="4">#REF!</definedName>
    <definedName name="IncD.TotalIncome">#REF!</definedName>
    <definedName name="IncD.TotalIntrstPay" localSheetId="4">#REF!</definedName>
    <definedName name="IncD.TotalIntrstPay">#REF!</definedName>
    <definedName name="IncD.TotalTaxesPaid" localSheetId="4">#REF!</definedName>
    <definedName name="IncD.TotalTaxesPaid">#REF!</definedName>
    <definedName name="IncD.TotalTaxPayable" localSheetId="4">#REF!</definedName>
    <definedName name="IncD.TotalTaxPayable">#REF!</definedName>
    <definedName name="IncD.TotTaxPlusIntrstPay" localSheetId="4">#REF!</definedName>
    <definedName name="IncD.TotTaxPlusIntrstPay">#REF!</definedName>
    <definedName name="IT.Amt" localSheetId="4">#REF!</definedName>
    <definedName name="IT.Amt">#REF!</definedName>
    <definedName name="IT.FormulaOFS" localSheetId="4">#REF!</definedName>
    <definedName name="IT.FormulaOFS">#REF!</definedName>
    <definedName name="_xlnm.Print_Area" localSheetId="1">'GA-55'!$B$1:$AD$29</definedName>
    <definedName name="_xlnm.Print_Area" localSheetId="0">MASTER!$A$1:$D$13</definedName>
    <definedName name="_xlnm.Print_Area" localSheetId="2">'Other Deduction'!$A$1:$CH$103</definedName>
    <definedName name="_xlnm.Print_Area" localSheetId="4">'Tax New Regime'!$B$1:$Q$41</definedName>
    <definedName name="_xlnm.Print_Area" localSheetId="3">'Tax Old Regime'!$B$1:$Q$66</definedName>
    <definedName name="Sex" localSheetId="4">'Other Deduction'!#REF!</definedName>
    <definedName name="Sex">'Other Deduction'!#REF!</definedName>
    <definedName name="sheet1.CityOrTownOrDistrict" localSheetId="4">#REF!</definedName>
    <definedName name="sheet1.CityOrTownOrDistrict">#REF!</definedName>
    <definedName name="sheet1.DOB" localSheetId="4">#REF!</definedName>
    <definedName name="sheet1.DOB">#REF!</definedName>
    <definedName name="sheet1.EmployerCategory1" localSheetId="4">#REF!</definedName>
    <definedName name="sheet1.EmployerCategory1">#REF!</definedName>
    <definedName name="sheet1.FirstName" localSheetId="4">#REF!</definedName>
    <definedName name="sheet1.FirstName">#REF!</definedName>
    <definedName name="sheet1.Gender1" localSheetId="4">#REF!</definedName>
    <definedName name="sheet1.Gender1">#REF!</definedName>
    <definedName name="sheet1.LocalityOrArea" localSheetId="4">#REF!</definedName>
    <definedName name="sheet1.LocalityOrArea">#REF!</definedName>
    <definedName name="sheet1.MiddleName" localSheetId="4">#REF!</definedName>
    <definedName name="sheet1.MiddleName">#REF!</definedName>
    <definedName name="sheet1.newstcode" localSheetId="4">#REF!</definedName>
    <definedName name="sheet1.newstcode">#REF!</definedName>
    <definedName name="sheet1.OrigRetFiledDate" localSheetId="4">#REF!</definedName>
    <definedName name="sheet1.OrigRetFiledDate">#REF!</definedName>
    <definedName name="sheet1.PAN" localSheetId="4">#REF!</definedName>
    <definedName name="sheet1.PAN">#REF!</definedName>
    <definedName name="sheet1.PhoneNo" localSheetId="4">#REF!</definedName>
    <definedName name="sheet1.PhoneNo">#REF!</definedName>
    <definedName name="sheet1.PinCode" localSheetId="4">#REF!</definedName>
    <definedName name="sheet1.PinCode">#REF!</definedName>
    <definedName name="sheet1.ReceiptNo" localSheetId="4">#REF!</definedName>
    <definedName name="sheet1.ReceiptNo">#REF!</definedName>
    <definedName name="sheet1.ResidenceName" localSheetId="4">#REF!</definedName>
    <definedName name="sheet1.ResidenceName">#REF!</definedName>
    <definedName name="sheet1.ResidenceNo" localSheetId="4">#REF!</definedName>
    <definedName name="sheet1.ResidenceNo">#REF!</definedName>
    <definedName name="sheet1.ResidentialStatus" localSheetId="4">#REF!</definedName>
    <definedName name="sheet1.ResidentialStatus">#REF!</definedName>
    <definedName name="sheet1.ResidentialStatus1" localSheetId="4">#REF!</definedName>
    <definedName name="sheet1.ResidentialStatus1">#REF!</definedName>
    <definedName name="sheet1.ReturnFileSec" localSheetId="4">#REF!</definedName>
    <definedName name="sheet1.ReturnFileSec">#REF!</definedName>
    <definedName name="sheet1.ReturnFileSec1" localSheetId="4">#REF!</definedName>
    <definedName name="sheet1.ReturnFileSec1">#REF!</definedName>
    <definedName name="sheet1.ReturnType" localSheetId="4">#REF!</definedName>
    <definedName name="sheet1.ReturnType">#REF!</definedName>
    <definedName name="sheet1.ReturnType1" localSheetId="4">#REF!</definedName>
    <definedName name="sheet1.ReturnType1">#REF!</definedName>
    <definedName name="sheet1.RoadOrStreet" localSheetId="4">#REF!</definedName>
    <definedName name="sheet1.RoadOrStreet">#REF!</definedName>
    <definedName name="sheet1.StateCode" localSheetId="4">#REF!</definedName>
    <definedName name="sheet1.StateCode">#REF!</definedName>
    <definedName name="sheet1.StateCode1" localSheetId="4">#REF!</definedName>
    <definedName name="sheet1.StateCode1">#REF!</definedName>
    <definedName name="sheet1.Status" localSheetId="4">#REF!</definedName>
    <definedName name="sheet1.Status">#REF!</definedName>
    <definedName name="sheet1.Status1" localSheetId="4">#REF!</definedName>
    <definedName name="sheet1.Status1">#REF!</definedName>
    <definedName name="sheet1.STDcode" localSheetId="4">#REF!</definedName>
    <definedName name="sheet1.STDcode">#REF!</definedName>
    <definedName name="sheet1.SurNameOrOrgName" localSheetId="4">#REF!</definedName>
    <definedName name="sheet1.SurNameOrOrgName">#REF!</definedName>
    <definedName name="sheet1.SwVersionNo" localSheetId="4">#REF!</definedName>
    <definedName name="sheet1.SwVersionNo">#REF!</definedName>
    <definedName name="TaxP.Amt" localSheetId="4">#REF!</definedName>
    <definedName name="TaxP.Amt">#REF!</definedName>
    <definedName name="TaxP.BSRCode" localSheetId="4">#REF!</definedName>
    <definedName name="TaxP.BSRCode">#REF!</definedName>
    <definedName name="TaxP.DateDep" localSheetId="4">#REF!</definedName>
    <definedName name="TaxP.DateDep">#REF!</definedName>
    <definedName name="TaxP.NameOfBank" localSheetId="4">#REF!</definedName>
    <definedName name="TaxP.NameOfBank">#REF!</definedName>
    <definedName name="TaxP.NameOfBranch" localSheetId="4">#REF!</definedName>
    <definedName name="TaxP.NameOfBranch">#REF!</definedName>
    <definedName name="TaxP.SrlNoOfChaln" localSheetId="4">#REF!</definedName>
    <definedName name="TaxP.SrlNoOfChaln">#REF!</definedName>
    <definedName name="TDS_Sum" localSheetId="4">#REF!</definedName>
    <definedName name="TDS_Sum">#REF!</definedName>
    <definedName name="TDS1.TotalTDSSal" localSheetId="4">#REF!</definedName>
    <definedName name="TDS1.TotalTDSSal">#REF!</definedName>
    <definedName name="TDS2_sum" localSheetId="4">#REF!</definedName>
    <definedName name="TDS2_sum">#REF!</definedName>
    <definedName name="TDSal.AddrDetail" localSheetId="4">#REF!</definedName>
    <definedName name="TDSal.AddrDetail">#REF!</definedName>
    <definedName name="TDSal.CityOrTownOrDistrict" localSheetId="4">#REF!</definedName>
    <definedName name="TDSal.CityOrTownOrDistrict">#REF!</definedName>
    <definedName name="TDSal.DeductUnderChapVIA" localSheetId="4">#REF!</definedName>
    <definedName name="TDSal.DeductUnderChapVIA">#REF!</definedName>
    <definedName name="TDSal.EmployerOrDeductorOrCollecterName" localSheetId="4">#REF!</definedName>
    <definedName name="TDSal.EmployerOrDeductorOrCollecterName">#REF!</definedName>
    <definedName name="TDSal.IncChrgSal" localSheetId="4">#REF!</definedName>
    <definedName name="TDSal.IncChrgSal">#REF!</definedName>
    <definedName name="TDSal.PinCode" localSheetId="4">#REF!</definedName>
    <definedName name="TDSal.PinCode">#REF!</definedName>
    <definedName name="TDSal.StateCode" localSheetId="4">#REF!</definedName>
    <definedName name="TDSal.StateCode">#REF!</definedName>
    <definedName name="TDSal.TAN" localSheetId="4">#REF!</definedName>
    <definedName name="TDSal.TAN">#REF!</definedName>
    <definedName name="TDSal.TaxPayIncluSurchEdnCes" localSheetId="4">#REF!</definedName>
    <definedName name="TDSal.TaxPayIncluSurchEdnCes">#REF!</definedName>
    <definedName name="TDSal.TaxPayRefund" localSheetId="4">#REF!</definedName>
    <definedName name="TDSal.TaxPayRefund">#REF!</definedName>
    <definedName name="TDSal.TotalTDSSal" localSheetId="4">#REF!</definedName>
    <definedName name="TDSal.TotalTDSSal">#REF!</definedName>
    <definedName name="TDSoth.AddrDetail" localSheetId="4">#REF!</definedName>
    <definedName name="TDSoth.AddrDetail">#REF!</definedName>
    <definedName name="TDSoth.AmtPaid" localSheetId="4">#REF!</definedName>
    <definedName name="TDSoth.AmtPaid">#REF!</definedName>
    <definedName name="TDSoth.CityOrTownOrDistrict" localSheetId="4">#REF!</definedName>
    <definedName name="TDSoth.CityOrTownOrDistrict">#REF!</definedName>
    <definedName name="TDSoth.ClaimOutOfTotTDSOnAmtPaid" localSheetId="4">#REF!</definedName>
    <definedName name="TDSoth.ClaimOutOfTotTDSOnAmtPaid">#REF!</definedName>
    <definedName name="TDSoth.DatePayCred" localSheetId="4">#REF!</definedName>
    <definedName name="TDSoth.DatePayCred">#REF!</definedName>
    <definedName name="TDSoth.EmployerOrDeductorOrCollecterName" localSheetId="4">#REF!</definedName>
    <definedName name="TDSoth.EmployerOrDeductorOrCollecterName">#REF!</definedName>
    <definedName name="TDSoth.PinCode" localSheetId="4">#REF!</definedName>
    <definedName name="TDSoth.PinCode">#REF!</definedName>
    <definedName name="TDSoth.StateCode" localSheetId="4">#REF!</definedName>
    <definedName name="TDSoth.StateCode">#REF!</definedName>
    <definedName name="TDSoth.TAN" localSheetId="4">#REF!</definedName>
    <definedName name="TDSoth.TAN">#REF!</definedName>
    <definedName name="TDSoth.TotTDSOnAmtPaid" localSheetId="4">#REF!</definedName>
    <definedName name="TDSoth.TotTDSOnAmtPaid">#REF!</definedName>
    <definedName name="tp" localSheetId="4">#REF!</definedName>
    <definedName name="tp">#REF!</definedName>
    <definedName name="Ver.AssesseeVerName" localSheetId="4">#REF!</definedName>
    <definedName name="Ver.AssesseeVerName">#REF!</definedName>
    <definedName name="Ver.Date" localSheetId="4">#REF!</definedName>
    <definedName name="Ver.Date">#REF!</definedName>
    <definedName name="Ver.FatherName" localSheetId="4">#REF!</definedName>
    <definedName name="Ver.FatherName">#REF!</definedName>
    <definedName name="Ver.IdentificationNoOfTRP" localSheetId="4">#REF!</definedName>
    <definedName name="Ver.IdentificationNoOfTRP">#REF!</definedName>
    <definedName name="Ver.NameOfTRP" localSheetId="4">#REF!</definedName>
    <definedName name="Ver.NameOfTRP">#REF!</definedName>
    <definedName name="Ver.Place" localSheetId="4">#REF!</definedName>
    <definedName name="Ver.Place">#REF!</definedName>
    <definedName name="Ver.ReImbFrmGov" localSheetId="4">#REF!</definedName>
    <definedName name="Ver.ReImbFrmGov">#REF!</definedName>
    <definedName name="Z_01E6FF9C_BB30_4C32_9D09_6DB93F11503E_.wvu.Cols" localSheetId="1" hidden="1">'GA-55'!$AF:$XFD</definedName>
    <definedName name="Z_01E6FF9C_BB30_4C32_9D09_6DB93F11503E_.wvu.Cols" localSheetId="2" hidden="1">'Other Deduction'!$F:$XFD</definedName>
    <definedName name="Z_01E6FF9C_BB30_4C32_9D09_6DB93F11503E_.wvu.Cols" localSheetId="4" hidden="1">'Tax New Regime'!$S:$XFD</definedName>
    <definedName name="Z_01E6FF9C_BB30_4C32_9D09_6DB93F11503E_.wvu.Cols" localSheetId="3" hidden="1">'Tax Old Regime'!$S:$XFD</definedName>
    <definedName name="Z_01E6FF9C_BB30_4C32_9D09_6DB93F11503E_.wvu.PrintArea" localSheetId="1" hidden="1">'GA-55'!$B$1:$AD$35</definedName>
    <definedName name="Z_01E6FF9C_BB30_4C32_9D09_6DB93F11503E_.wvu.PrintArea" localSheetId="4" hidden="1">'Tax New Regime'!$B$1:$Q$43</definedName>
    <definedName name="Z_01E6FF9C_BB30_4C32_9D09_6DB93F11503E_.wvu.PrintArea" localSheetId="3" hidden="1">'Tax Old Regime'!$B$1:$Q$68</definedName>
    <definedName name="Z_01E6FF9C_BB30_4C32_9D09_6DB93F11503E_.wvu.Rows" localSheetId="1" hidden="1">'GA-55'!$48:$1048576,'GA-55'!$36:$40</definedName>
    <definedName name="Z_01E6FF9C_BB30_4C32_9D09_6DB93F11503E_.wvu.Rows" localSheetId="2" hidden="1">'Other Deduction'!$560:$1048576,'Other Deduction'!$22:$559</definedName>
    <definedName name="Z_01E6FF9C_BB30_4C32_9D09_6DB93F11503E_.wvu.Rows" localSheetId="4" hidden="1">'Tax New Regime'!$49:$1048576,'Tax New Regime'!$45:$48</definedName>
    <definedName name="Z_01E6FF9C_BB30_4C32_9D09_6DB93F11503E_.wvu.Rows" localSheetId="3" hidden="1">'Tax Old Regime'!$74:$1048576,'Tax Old Regime'!$70:$73</definedName>
    <definedName name="Z_483AFC7C_A53B_4837_A853_31CBC6C9ED1B_.wvu.Cols" localSheetId="1" hidden="1">'GA-55'!$AF:$XFD</definedName>
    <definedName name="Z_483AFC7C_A53B_4837_A853_31CBC6C9ED1B_.wvu.Cols" localSheetId="2" hidden="1">'Other Deduction'!$F:$XFD</definedName>
    <definedName name="Z_483AFC7C_A53B_4837_A853_31CBC6C9ED1B_.wvu.Cols" localSheetId="4" hidden="1">'Tax New Regime'!$S:$XFD</definedName>
    <definedName name="Z_483AFC7C_A53B_4837_A853_31CBC6C9ED1B_.wvu.Cols" localSheetId="3" hidden="1">'Tax Old Regime'!$S:$XFD</definedName>
    <definedName name="Z_483AFC7C_A53B_4837_A853_31CBC6C9ED1B_.wvu.PrintArea" localSheetId="1" hidden="1">'GA-55'!$B$1:$AD$35</definedName>
    <definedName name="Z_483AFC7C_A53B_4837_A853_31CBC6C9ED1B_.wvu.PrintArea" localSheetId="4" hidden="1">'Tax New Regime'!$B$1:$Q$43</definedName>
    <definedName name="Z_483AFC7C_A53B_4837_A853_31CBC6C9ED1B_.wvu.PrintArea" localSheetId="3" hidden="1">'Tax Old Regime'!$B$1:$Q$68</definedName>
    <definedName name="Z_483AFC7C_A53B_4837_A853_31CBC6C9ED1B_.wvu.Rows" localSheetId="1" hidden="1">'GA-55'!$48:$1048576,'GA-55'!$36:$40</definedName>
    <definedName name="Z_483AFC7C_A53B_4837_A853_31CBC6C9ED1B_.wvu.Rows" localSheetId="2" hidden="1">'Other Deduction'!$560:$1048576,'Other Deduction'!$22:$559</definedName>
    <definedName name="Z_483AFC7C_A53B_4837_A853_31CBC6C9ED1B_.wvu.Rows" localSheetId="4" hidden="1">'Tax New Regime'!$49:$1048576,'Tax New Regime'!$45:$48</definedName>
    <definedName name="Z_483AFC7C_A53B_4837_A853_31CBC6C9ED1B_.wvu.Rows" localSheetId="3" hidden="1">'Tax Old Regime'!$74:$1048576,'Tax Old Regime'!$70:$73</definedName>
  </definedNames>
  <calcPr calcId="162913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G18" i="2" l="1"/>
  <c r="G5" i="2"/>
  <c r="H13" i="2"/>
  <c r="H14" i="2"/>
  <c r="H15" i="2"/>
  <c r="H16" i="2"/>
  <c r="G13" i="2"/>
  <c r="G14" i="2"/>
  <c r="G15" i="2"/>
  <c r="G16" i="2"/>
  <c r="G12" i="2"/>
  <c r="G9" i="2"/>
  <c r="G10" i="2"/>
  <c r="G11" i="2"/>
  <c r="G6" i="2"/>
  <c r="G7" i="2"/>
  <c r="G8" i="2"/>
  <c r="Q15" i="8" l="1"/>
  <c r="C5" i="2" l="1"/>
  <c r="Q25" i="8"/>
  <c r="L6" i="2" l="1"/>
  <c r="M6" i="2"/>
  <c r="L7" i="2"/>
  <c r="L8" i="2" s="1"/>
  <c r="L9" i="2" s="1"/>
  <c r="L10" i="2" s="1"/>
  <c r="L11" i="2" s="1"/>
  <c r="L12" i="2" s="1"/>
  <c r="L13" i="2" s="1"/>
  <c r="L14" i="2" s="1"/>
  <c r="L15" i="2" s="1"/>
  <c r="L16" i="2" s="1"/>
  <c r="M7" i="2"/>
  <c r="M8" i="2" s="1"/>
  <c r="M9" i="2" s="1"/>
  <c r="M10" i="2" s="1"/>
  <c r="M11" i="2" s="1"/>
  <c r="M12" i="2" s="1"/>
  <c r="M13" i="2" s="1"/>
  <c r="M14" i="2" s="1"/>
  <c r="M15" i="2" s="1"/>
  <c r="M16" i="2" s="1"/>
  <c r="N7" i="2"/>
  <c r="N8" i="2"/>
  <c r="N9" i="2"/>
  <c r="N10" i="2"/>
  <c r="N11" i="2" s="1"/>
  <c r="N12" i="2" s="1"/>
  <c r="N13" i="2" s="1"/>
  <c r="N14" i="2" s="1"/>
  <c r="N15" i="2" s="1"/>
  <c r="N16" i="2" s="1"/>
  <c r="N6" i="2"/>
  <c r="Y7" i="2" l="1"/>
  <c r="Y8" i="2" s="1"/>
  <c r="Y9" i="2" s="1"/>
  <c r="Y10" i="2" s="1"/>
  <c r="Y11" i="2" s="1"/>
  <c r="Y12" i="2" s="1"/>
  <c r="Y13" i="2" s="1"/>
  <c r="Y14" i="2" s="1"/>
  <c r="Y15" i="2" s="1"/>
  <c r="Y16" i="2" s="1"/>
  <c r="O66" i="3" l="1"/>
  <c r="O18" i="2" l="1"/>
  <c r="O41" i="8"/>
  <c r="O40" i="8"/>
  <c r="O65" i="3"/>
  <c r="X29" i="2"/>
  <c r="X28" i="2"/>
  <c r="M26" i="2"/>
  <c r="N26" i="2"/>
  <c r="O21" i="2"/>
  <c r="O22" i="2"/>
  <c r="O23" i="2"/>
  <c r="O24" i="2"/>
  <c r="O25" i="2"/>
  <c r="L3" i="2"/>
  <c r="P3" i="3"/>
  <c r="M3" i="3"/>
  <c r="J3" i="3"/>
  <c r="E3" i="3"/>
  <c r="P3" i="8"/>
  <c r="M3" i="8"/>
  <c r="J3" i="8"/>
  <c r="E3" i="8"/>
  <c r="P4" i="2" l="1"/>
  <c r="P18" i="2"/>
  <c r="D25" i="3"/>
  <c r="Q5" i="3" l="1"/>
  <c r="Q16" i="3"/>
  <c r="V6" i="2"/>
  <c r="I26" i="3" s="1"/>
  <c r="C2" i="1" l="1"/>
  <c r="B2" i="1"/>
  <c r="A2" i="1"/>
  <c r="R5" i="2" l="1"/>
  <c r="B1" i="2" l="1"/>
  <c r="B1" i="3" s="1"/>
  <c r="AB3" i="2"/>
  <c r="V3" i="2"/>
  <c r="Q3" i="2"/>
  <c r="C3" i="2"/>
  <c r="D11" i="9"/>
  <c r="Z5" i="2" l="1"/>
  <c r="P5" i="2"/>
  <c r="H5" i="2"/>
  <c r="O5" i="2" s="1"/>
  <c r="C6" i="2"/>
  <c r="O35" i="8"/>
  <c r="Q32" i="8"/>
  <c r="Q10" i="8"/>
  <c r="K7" i="8"/>
  <c r="B1" i="8"/>
  <c r="P6" i="2" l="1"/>
  <c r="Z6" i="2"/>
  <c r="H6" i="2"/>
  <c r="E7" i="8"/>
  <c r="M7" i="8" s="1"/>
  <c r="Q8" i="8" s="1"/>
  <c r="E17" i="1" l="1"/>
  <c r="Q41" i="3" l="1"/>
  <c r="Q58" i="3"/>
  <c r="Q39" i="3"/>
  <c r="Q38" i="3"/>
  <c r="Q37" i="3"/>
  <c r="Q36" i="3"/>
  <c r="Q32" i="3"/>
  <c r="Q42" i="3"/>
  <c r="Q40" i="3"/>
  <c r="O25" i="3"/>
  <c r="O24" i="3"/>
  <c r="O21" i="3"/>
  <c r="AB22" i="2"/>
  <c r="M8" i="3"/>
  <c r="AA6" i="2"/>
  <c r="AA7" i="2" s="1"/>
  <c r="AA8" i="2" s="1"/>
  <c r="AA9" i="2" s="1"/>
  <c r="AA10" i="2" s="1"/>
  <c r="AA11" i="2" s="1"/>
  <c r="AA12" i="2" s="1"/>
  <c r="AA13" i="2" s="1"/>
  <c r="I7" i="2"/>
  <c r="O61" i="3" l="1"/>
  <c r="AB24" i="2"/>
  <c r="AC24" i="2" s="1"/>
  <c r="AB25" i="2"/>
  <c r="AC25" i="2" s="1"/>
  <c r="AC22" i="2"/>
  <c r="AB23" i="2"/>
  <c r="AC23" i="2" s="1"/>
  <c r="O28" i="3"/>
  <c r="K20" i="2"/>
  <c r="AA26" i="2"/>
  <c r="V26" i="2"/>
  <c r="J6" i="2"/>
  <c r="J7" i="2" s="1"/>
  <c r="J8" i="2" s="1"/>
  <c r="J9" i="2" s="1"/>
  <c r="J10" i="2" s="1"/>
  <c r="J11" i="2" s="1"/>
  <c r="J12" i="2" s="1"/>
  <c r="J13" i="2" s="1"/>
  <c r="J14" i="2" s="1"/>
  <c r="J15" i="2" s="1"/>
  <c r="J16" i="2" s="1"/>
  <c r="AB21" i="2"/>
  <c r="AB19" i="2"/>
  <c r="P20" i="2" l="1"/>
  <c r="O20" i="2"/>
  <c r="J26" i="2"/>
  <c r="O27" i="3"/>
  <c r="I24" i="3"/>
  <c r="X6" i="2"/>
  <c r="W6" i="2"/>
  <c r="AB20" i="2" l="1"/>
  <c r="AC20" i="2" s="1"/>
  <c r="AB5" i="2"/>
  <c r="R6" i="2" l="1"/>
  <c r="X7" i="2"/>
  <c r="W7" i="2"/>
  <c r="U6" i="2"/>
  <c r="S6" i="2"/>
  <c r="Q6" i="2"/>
  <c r="M7" i="3"/>
  <c r="O26" i="3"/>
  <c r="O23" i="3"/>
  <c r="O22" i="3"/>
  <c r="I27" i="3"/>
  <c r="I23" i="3"/>
  <c r="I22" i="3"/>
  <c r="K13" i="3"/>
  <c r="M11" i="3"/>
  <c r="I8" i="2"/>
  <c r="I9" i="2" s="1"/>
  <c r="I10" i="2" s="1"/>
  <c r="I11" i="2" s="1"/>
  <c r="I12" i="2" s="1"/>
  <c r="I13" i="2" s="1"/>
  <c r="I14" i="2" s="1"/>
  <c r="I15" i="2" s="1"/>
  <c r="I16" i="2" s="1"/>
  <c r="I6" i="2"/>
  <c r="F6" i="2"/>
  <c r="E6" i="2"/>
  <c r="D6" i="2"/>
  <c r="O6" i="2" s="1"/>
  <c r="D7" i="2"/>
  <c r="D8" i="2"/>
  <c r="D9" i="2"/>
  <c r="D10" i="2"/>
  <c r="D11" i="2"/>
  <c r="D12" i="2"/>
  <c r="D13" i="2"/>
  <c r="D14" i="2"/>
  <c r="D15" i="2"/>
  <c r="D16" i="2"/>
  <c r="E13" i="3" l="1"/>
  <c r="I26" i="2"/>
  <c r="F7" i="2"/>
  <c r="F8" i="2" s="1"/>
  <c r="F9" i="2" s="1"/>
  <c r="F10" i="2" s="1"/>
  <c r="F11" i="2" s="1"/>
  <c r="F12" i="2" s="1"/>
  <c r="F13" i="2" s="1"/>
  <c r="F14" i="2" s="1"/>
  <c r="F15" i="2" s="1"/>
  <c r="F16" i="2" s="1"/>
  <c r="S7" i="2"/>
  <c r="S8" i="2" s="1"/>
  <c r="S9" i="2" s="1"/>
  <c r="S10" i="2" s="1"/>
  <c r="S11" i="2" s="1"/>
  <c r="S12" i="2" s="1"/>
  <c r="S13" i="2" s="1"/>
  <c r="S14" i="2" s="1"/>
  <c r="S15" i="2" s="1"/>
  <c r="S16" i="2" s="1"/>
  <c r="R7" i="2"/>
  <c r="R8" i="2" s="1"/>
  <c r="R9" i="2" s="1"/>
  <c r="R10" i="2" s="1"/>
  <c r="R11" i="2" s="1"/>
  <c r="R12" i="2" s="1"/>
  <c r="R13" i="2" s="1"/>
  <c r="R14" i="2" s="1"/>
  <c r="R15" i="2" s="1"/>
  <c r="R16" i="2" s="1"/>
  <c r="D26" i="2"/>
  <c r="E7" i="2"/>
  <c r="E8" i="2" s="1"/>
  <c r="E9" i="2" s="1"/>
  <c r="E10" i="2" s="1"/>
  <c r="E11" i="2" s="1"/>
  <c r="E12" i="2" s="1"/>
  <c r="E13" i="2" s="1"/>
  <c r="E14" i="2" s="1"/>
  <c r="E15" i="2" s="1"/>
  <c r="E16" i="2" s="1"/>
  <c r="Q7" i="2"/>
  <c r="Q8" i="2" s="1"/>
  <c r="Q9" i="2" s="1"/>
  <c r="Q10" i="2" s="1"/>
  <c r="Q11" i="2" s="1"/>
  <c r="Q12" i="2" s="1"/>
  <c r="Q13" i="2" s="1"/>
  <c r="Q14" i="2" s="1"/>
  <c r="Q15" i="2" s="1"/>
  <c r="Q16" i="2" s="1"/>
  <c r="U7" i="2"/>
  <c r="U8" i="2" s="1"/>
  <c r="U9" i="2" s="1"/>
  <c r="U10" i="2" s="1"/>
  <c r="U11" i="2" s="1"/>
  <c r="U12" i="2" s="1"/>
  <c r="U13" i="2" s="1"/>
  <c r="U14" i="2" s="1"/>
  <c r="U15" i="2" s="1"/>
  <c r="U16" i="2" s="1"/>
  <c r="C7" i="2"/>
  <c r="AC21" i="2"/>
  <c r="X8" i="2"/>
  <c r="X9" i="2" s="1"/>
  <c r="X10" i="2" s="1"/>
  <c r="X11" i="2" s="1"/>
  <c r="X12" i="2" s="1"/>
  <c r="X13" i="2" s="1"/>
  <c r="X14" i="2" s="1"/>
  <c r="X15" i="2" s="1"/>
  <c r="X16" i="2" s="1"/>
  <c r="W8" i="2"/>
  <c r="W9" i="2" s="1"/>
  <c r="W10" i="2" s="1"/>
  <c r="W11" i="2" s="1"/>
  <c r="W12" i="2" s="1"/>
  <c r="W13" i="2" s="1"/>
  <c r="W14" i="2" s="1"/>
  <c r="W15" i="2" s="1"/>
  <c r="W16" i="2" s="1"/>
  <c r="Y6" i="2"/>
  <c r="P7" i="2" l="1"/>
  <c r="Z7" i="2"/>
  <c r="H7" i="2"/>
  <c r="K26" i="2"/>
  <c r="E26" i="2"/>
  <c r="S26" i="2"/>
  <c r="U26" i="2"/>
  <c r="C8" i="2"/>
  <c r="AB6" i="2"/>
  <c r="Q26" i="2"/>
  <c r="W26" i="2"/>
  <c r="X26" i="2"/>
  <c r="H13" i="3" s="1"/>
  <c r="L26" i="2"/>
  <c r="R26" i="2"/>
  <c r="F26" i="2"/>
  <c r="O7" i="2" l="1"/>
  <c r="Z8" i="2"/>
  <c r="P8" i="2"/>
  <c r="H8" i="2"/>
  <c r="O8" i="2" s="1"/>
  <c r="I28" i="3"/>
  <c r="I20" i="3"/>
  <c r="F35" i="8"/>
  <c r="I21" i="3"/>
  <c r="C9" i="2"/>
  <c r="AC6" i="2"/>
  <c r="F61" i="3"/>
  <c r="M13" i="3"/>
  <c r="Q14" i="3" s="1"/>
  <c r="Z9" i="2" l="1"/>
  <c r="P9" i="2"/>
  <c r="H9" i="2"/>
  <c r="O9" i="2" s="1"/>
  <c r="J35" i="8"/>
  <c r="M35" i="8"/>
  <c r="L35" i="8"/>
  <c r="AB8" i="2"/>
  <c r="C10" i="2"/>
  <c r="P10" i="2" l="1"/>
  <c r="Z10" i="2"/>
  <c r="Y26" i="2"/>
  <c r="H10" i="2"/>
  <c r="O10" i="2" s="1"/>
  <c r="P35" i="8"/>
  <c r="C19" i="2"/>
  <c r="G19" i="2"/>
  <c r="AC8" i="2"/>
  <c r="AB9" i="2"/>
  <c r="J61" i="3"/>
  <c r="C11" i="2"/>
  <c r="O19" i="2" l="1"/>
  <c r="P11" i="2"/>
  <c r="AB7" i="2"/>
  <c r="AC7" i="2" s="1"/>
  <c r="Z11" i="2"/>
  <c r="H11" i="2"/>
  <c r="O11" i="2" s="1"/>
  <c r="AB10" i="2"/>
  <c r="AC9" i="2"/>
  <c r="M61" i="3"/>
  <c r="L61" i="3"/>
  <c r="E8" i="1"/>
  <c r="C12" i="2"/>
  <c r="Z12" i="2" l="1"/>
  <c r="P12" i="2"/>
  <c r="H12" i="2"/>
  <c r="AC10" i="2"/>
  <c r="AB11" i="2"/>
  <c r="P61" i="3"/>
  <c r="C13" i="2"/>
  <c r="G17" i="2" l="1"/>
  <c r="P17" i="2" s="1"/>
  <c r="O12" i="2"/>
  <c r="Z13" i="2"/>
  <c r="P13" i="2"/>
  <c r="Q35" i="3"/>
  <c r="Q43" i="3" s="1"/>
  <c r="AC11" i="2"/>
  <c r="AB12" i="2"/>
  <c r="AC5" i="2"/>
  <c r="C14" i="2"/>
  <c r="O17" i="2" l="1"/>
  <c r="O13" i="2"/>
  <c r="Z14" i="2"/>
  <c r="P14" i="2"/>
  <c r="AC12" i="2"/>
  <c r="AB18" i="2"/>
  <c r="AC19" i="2"/>
  <c r="AB13" i="2"/>
  <c r="C15" i="2"/>
  <c r="O14" i="2" l="1"/>
  <c r="P15" i="2"/>
  <c r="Z15" i="2"/>
  <c r="AC13" i="2"/>
  <c r="AC18" i="2"/>
  <c r="AB14" i="2"/>
  <c r="C16" i="2"/>
  <c r="O15" i="2" l="1"/>
  <c r="H26" i="2"/>
  <c r="C26" i="2"/>
  <c r="P16" i="2"/>
  <c r="P26" i="2" s="1"/>
  <c r="Z16" i="2"/>
  <c r="Z26" i="2" s="1"/>
  <c r="T26" i="2"/>
  <c r="AB15" i="2"/>
  <c r="AC14" i="2"/>
  <c r="O16" i="2" l="1"/>
  <c r="I25" i="3"/>
  <c r="G26" i="2"/>
  <c r="O26" i="2" s="1"/>
  <c r="Q4" i="8" s="1"/>
  <c r="AC15" i="2"/>
  <c r="AB16" i="2"/>
  <c r="E19" i="1"/>
  <c r="AC16" i="2" l="1"/>
  <c r="Q9" i="8" l="1"/>
  <c r="Q4" i="3"/>
  <c r="E4" i="1"/>
  <c r="AB17" i="2"/>
  <c r="AB26" i="2" s="1"/>
  <c r="Q11" i="8" l="1"/>
  <c r="Q16" i="8" s="1"/>
  <c r="Q6" i="3"/>
  <c r="M9" i="3" s="1"/>
  <c r="Q9" i="3" s="1"/>
  <c r="Q10" i="3" s="1"/>
  <c r="Q15" i="3" s="1"/>
  <c r="Q17" i="3" s="1"/>
  <c r="AC17" i="2"/>
  <c r="AC26" i="2" s="1"/>
  <c r="O29" i="3" l="1"/>
  <c r="Q30" i="3" s="1"/>
  <c r="E12" i="1" s="1"/>
  <c r="Q17" i="8"/>
  <c r="Q26" i="8" l="1"/>
  <c r="Q22" i="8"/>
  <c r="Q21" i="8"/>
  <c r="Q24" i="8"/>
  <c r="Q23" i="8"/>
  <c r="Q33" i="3"/>
  <c r="Q44" i="3" s="1"/>
  <c r="Q45" i="3" s="1"/>
  <c r="Q46" i="3" s="1"/>
  <c r="Q51" i="3" s="1"/>
  <c r="A20" i="1"/>
  <c r="C20" i="1"/>
  <c r="Q52" i="3" l="1"/>
  <c r="Q50" i="3"/>
  <c r="E6" i="1"/>
  <c r="Q27" i="8"/>
  <c r="Q28" i="8" s="1"/>
  <c r="Q29" i="8" l="1"/>
  <c r="Q30" i="8" s="1"/>
  <c r="Q31" i="8" s="1"/>
  <c r="Q33" i="8" s="1"/>
  <c r="Q53" i="3"/>
  <c r="B36" i="8" l="1"/>
  <c r="Q36" i="8"/>
  <c r="Q54" i="3"/>
  <c r="Q55" i="3" s="1"/>
  <c r="Q56" i="3" s="1"/>
  <c r="Q57" i="3" s="1"/>
  <c r="Q59" i="3" s="1"/>
  <c r="Q62" i="3" l="1"/>
  <c r="C19" i="1" s="1"/>
  <c r="B62" i="3"/>
  <c r="A19" i="1" s="1"/>
</calcChain>
</file>

<file path=xl/sharedStrings.xml><?xml version="1.0" encoding="utf-8"?>
<sst xmlns="http://schemas.openxmlformats.org/spreadsheetml/2006/main" count="386" uniqueCount="252">
  <si>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</si>
  <si>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</si>
  <si>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</si>
  <si>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</si>
  <si>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</si>
  <si>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</si>
  <si>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</si>
  <si>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</si>
  <si>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</si>
  <si>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</si>
  <si>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</si>
  <si>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</si>
  <si>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</si>
  <si>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</si>
  <si>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</si>
  <si>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</si>
  <si>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</si>
  <si>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</si>
  <si>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</si>
  <si>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</si>
  <si>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</si>
  <si>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</si>
  <si>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</si>
  <si>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</si>
  <si>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</si>
  <si>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</si>
  <si>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</si>
  <si>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</si>
  <si>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</si>
  <si>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</si>
  <si>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</si>
  <si>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</si>
  <si>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</si>
  <si>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</si>
  <si>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</si>
  <si>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</si>
  <si>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</si>
  <si>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</si>
  <si>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</si>
  <si>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</si>
  <si>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</si>
  <si>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</si>
  <si>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</si>
  <si>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</si>
  <si>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</si>
  <si>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</si>
  <si>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</si>
  <si>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</si>
  <si>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</si>
  <si>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</si>
  <si>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</si>
  <si>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</si>
  <si>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</si>
  <si>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</si>
  <si>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</si>
  <si>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</si>
  <si>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</si>
  <si>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</si>
  <si>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</si>
  <si>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</si>
  <si>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</si>
  <si>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</si>
  <si>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</si>
  <si>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</si>
  <si>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</si>
  <si>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</si>
  <si>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</si>
  <si>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</si>
  <si>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</si>
  <si>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</si>
  <si>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</si>
  <si>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</si>
  <si>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</si>
  <si>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</si>
  <si>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</si>
  <si>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</si>
  <si>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</si>
  <si>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</si>
  <si>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</si>
  <si>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</si>
  <si>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</si>
  <si>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</si>
  <si>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</si>
  <si>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</si>
  <si>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</si>
  <si>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</si>
  <si>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</si>
  <si>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</si>
  <si>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</si>
  <si>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</si>
  <si>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</si>
  <si>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</si>
  <si>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</si>
  <si>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</si>
  <si>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</si>
  <si>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</si>
  <si>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</si>
  <si>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</si>
  <si>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</si>
  <si>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</si>
  <si>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</si>
  <si>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</si>
  <si>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</si>
  <si>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</si>
  <si>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</si>
  <si>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</si>
  <si>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</si>
  <si>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</si>
  <si>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</si>
  <si>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</si>
  <si>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</si>
  <si>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</si>
  <si>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</si>
  <si>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</si>
  <si>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</si>
  <si>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</si>
  <si>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</si>
  <si>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</si>
  <si>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</si>
  <si>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</si>
  <si>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</si>
  <si>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</si>
  <si>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</si>
  <si>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</si>
  <si>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</si>
  <si>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</si>
  <si>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</si>
  <si>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</si>
  <si>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</si>
  <si>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</si>
  <si>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ROP (If any, put the value in minus)</t>
  </si>
  <si>
    <t>Net Payment</t>
  </si>
  <si>
    <t>TAN:</t>
  </si>
  <si>
    <t>No</t>
  </si>
  <si>
    <t>vU; tekjkf'k ¼/kkjk 80 lh ds vUrxZr½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</si>
  <si>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</si>
  <si>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</si>
  <si>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</si>
  <si>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</si>
  <si>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</si>
  <si>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</si>
  <si>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</si>
  <si>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</si>
  <si>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</si>
  <si>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</si>
  <si>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</si>
  <si>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</si>
  <si>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</si>
  <si>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</si>
  <si>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</si>
  <si>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</si>
  <si>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</si>
  <si>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</si>
  <si>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</si>
  <si>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</si>
  <si>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</si>
  <si>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NAME :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</si>
  <si>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</si>
  <si>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</si>
  <si>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</si>
  <si>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</si>
  <si>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</si>
  <si>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</si>
  <si>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</si>
  <si>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</si>
  <si>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</si>
  <si>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</si>
  <si>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</si>
  <si>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</si>
  <si>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</si>
  <si>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</si>
  <si>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</si>
  <si>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</si>
  <si>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</si>
  <si>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</si>
  <si>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</si>
  <si>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</si>
  <si>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</si>
  <si>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Yes</t>
  </si>
  <si>
    <t>Signature of Office</t>
  </si>
  <si>
    <t>lHkh ihys lsy vo'; HkjsaA</t>
  </si>
  <si>
    <t>dk;kZy; dk uke %</t>
  </si>
  <si>
    <r>
      <t xml:space="preserve">dk;kZy; dk </t>
    </r>
    <r>
      <rPr>
        <b/>
        <sz val="14"/>
        <rFont val="Calibri"/>
        <family val="2"/>
        <scheme val="minor"/>
      </rPr>
      <t>TAN</t>
    </r>
    <r>
      <rPr>
        <b/>
        <sz val="14"/>
        <rFont val="DevLys 010"/>
      </rPr>
      <t xml:space="preserve"> %</t>
    </r>
  </si>
  <si>
    <t>AAAAXXXXXA</t>
  </si>
  <si>
    <t>dkfeZd dk uke %</t>
  </si>
  <si>
    <t>Teacher</t>
  </si>
  <si>
    <r>
      <t xml:space="preserve">dkfeZd dk </t>
    </r>
    <r>
      <rPr>
        <b/>
        <sz val="14"/>
        <rFont val="Calibri"/>
        <family val="2"/>
        <scheme val="minor"/>
      </rPr>
      <t>PAN</t>
    </r>
    <r>
      <rPr>
        <b/>
        <sz val="14"/>
        <rFont val="DevLys 010"/>
      </rPr>
      <t xml:space="preserve"> %</t>
    </r>
  </si>
  <si>
    <t>AAAAAXXXXA</t>
  </si>
  <si>
    <t>cSad [kkrk la[;k %</t>
  </si>
  <si>
    <t>9XXXXXXXXXXXXX9</t>
  </si>
  <si>
    <t>jkT; chek ekfld dVkSrh %</t>
  </si>
  <si>
    <t>Mobile No. :</t>
  </si>
  <si>
    <t>D;k vkidks cksul feyk gS \</t>
  </si>
  <si>
    <t>lefZiZr fcy dk ekg %</t>
  </si>
  <si>
    <t>D;k vki ofj"B ukxfjd ¼60&amp;80 vk;qoxZ½ esa vkrs gS \</t>
  </si>
  <si>
    <t>dkfZeZd dh Js.kh %</t>
  </si>
  <si>
    <t>RGHS</t>
  </si>
  <si>
    <t>Employee Name</t>
  </si>
  <si>
    <t>https://yogeshmaheshwari.com/vetan-draw/</t>
  </si>
  <si>
    <t>Hitkari Nidhi</t>
  </si>
  <si>
    <t>GSSS</t>
  </si>
  <si>
    <r>
      <t xml:space="preserve">D;k vkius </t>
    </r>
    <r>
      <rPr>
        <b/>
        <sz val="14"/>
        <rFont val="Times New Roman"/>
        <family val="1"/>
      </rPr>
      <t>RGHS</t>
    </r>
    <r>
      <rPr>
        <b/>
        <sz val="14"/>
        <rFont val="DevLys 010"/>
      </rPr>
      <t xml:space="preserve"> fy;k gS \</t>
    </r>
    <r>
      <rPr>
        <b/>
        <sz val="14"/>
        <rFont val="Times New Roman"/>
        <family val="1"/>
      </rPr>
      <t xml:space="preserve"> </t>
    </r>
  </si>
  <si>
    <t>YES</t>
  </si>
  <si>
    <t>Mess Allowance</t>
  </si>
  <si>
    <t>Hard Duty Allowance</t>
  </si>
  <si>
    <t>GPF LOAN</t>
  </si>
  <si>
    <t>Mobile No</t>
  </si>
  <si>
    <t>Account No</t>
  </si>
  <si>
    <t>CCA</t>
  </si>
  <si>
    <r>
      <t xml:space="preserve">D;k vki </t>
    </r>
    <r>
      <rPr>
        <b/>
        <sz val="14"/>
        <color theme="1"/>
        <rFont val="Calibri"/>
        <family val="2"/>
        <scheme val="minor"/>
      </rPr>
      <t xml:space="preserve">GPF 2004 वाले </t>
    </r>
    <r>
      <rPr>
        <b/>
        <sz val="14"/>
        <color theme="1"/>
        <rFont val="DevLys 010"/>
      </rPr>
      <t>gS \</t>
    </r>
  </si>
  <si>
    <t>GIS</t>
  </si>
  <si>
    <t>T.V. No. &amp; Date</t>
  </si>
  <si>
    <t>INCOME TAX CALCULATION (GA-55) 2024-25</t>
  </si>
  <si>
    <t>Coperative</t>
  </si>
  <si>
    <t xml:space="preserve">HRA (March 25) : </t>
  </si>
  <si>
    <r>
      <t xml:space="preserve">समूह दुर्घटना बीमा प्रीमियम </t>
    </r>
    <r>
      <rPr>
        <b/>
        <sz val="14"/>
        <rFont val="Times New Roman"/>
        <family val="1"/>
      </rPr>
      <t>GIS</t>
    </r>
  </si>
  <si>
    <t>D;k vkius o"kZ 2025&amp;26 esa lefZiZr fy;k gS \</t>
  </si>
  <si>
    <r>
      <rPr>
        <b/>
        <sz val="14"/>
        <rFont val="Times New Roman"/>
        <family val="1"/>
      </rPr>
      <t>March</t>
    </r>
    <r>
      <rPr>
        <b/>
        <sz val="14"/>
        <rFont val="DevLys 010"/>
      </rPr>
      <t xml:space="preserve"> 2025 dk ewy osru %</t>
    </r>
  </si>
  <si>
    <r>
      <t xml:space="preserve">vk;dj x.kuk izi= o"kZ 2025&amp;2026¼dj fu/kkZj.k o"kZ 2026&amp;2027½ </t>
    </r>
    <r>
      <rPr>
        <b/>
        <sz val="14"/>
        <rFont val="Times New Roman"/>
        <family val="1"/>
      </rPr>
      <t>(OLD TAX REGIME)</t>
    </r>
  </si>
  <si>
    <t>vk; %  o"kZ&amp;2025&amp;26 esa izkIr dqy osru ¼ dj ;ksX; lqfo/kkvksa ds eqY; lfgr ½</t>
  </si>
  <si>
    <t>flrEcj 2025
rd  :i;s</t>
  </si>
  <si>
    <t>अक्टूबर से fnlEcj 2025
rd  :i;s</t>
  </si>
  <si>
    <r>
      <t xml:space="preserve">tuojh 2026
</t>
    </r>
    <r>
      <rPr>
        <b/>
        <sz val="10"/>
        <rFont val="DevLys 010"/>
      </rPr>
      <t>में</t>
    </r>
    <r>
      <rPr>
        <b/>
        <sz val="12"/>
        <rFont val="DevLys 010"/>
      </rPr>
      <t xml:space="preserve"> :i;s</t>
    </r>
  </si>
  <si>
    <r>
      <t xml:space="preserve">Qjojh 2026
</t>
    </r>
    <r>
      <rPr>
        <b/>
        <sz val="10"/>
        <rFont val="DevLys 010"/>
      </rPr>
      <t>में</t>
    </r>
    <r>
      <rPr>
        <b/>
        <sz val="12"/>
        <rFont val="DevLys 010"/>
      </rPr>
      <t xml:space="preserve">  :i;s</t>
    </r>
  </si>
  <si>
    <r>
      <t xml:space="preserve">vk;dj x.kuk izi= o"kZ 2025&amp;2026¼dj fu/kkZj.k o"kZ 2026&amp;2027½ </t>
    </r>
    <r>
      <rPr>
        <b/>
        <sz val="14"/>
        <rFont val="Times New Roman"/>
        <family val="1"/>
      </rPr>
      <t>(NEW TAX REGIME)</t>
    </r>
  </si>
  <si>
    <t>4,00,001-8,00,000</t>
  </si>
  <si>
    <t>8,00,001-12,00,000</t>
  </si>
  <si>
    <t>12,00,001-16,00,000</t>
  </si>
  <si>
    <t>16,00,001-20,00,000</t>
  </si>
  <si>
    <t>20,00,001-25,00,000</t>
  </si>
  <si>
    <t xml:space="preserve">?kVkb;s dVkSSfr;k¡ %&amp; </t>
  </si>
  <si>
    <t>tuojh 2026
rd :i;s</t>
  </si>
  <si>
    <t>Qjojh 2026
rd  :i;s</t>
  </si>
  <si>
    <r>
      <rPr>
        <sz val="12"/>
        <rFont val="Times New Roman"/>
        <family val="1"/>
      </rPr>
      <t>(A)</t>
    </r>
    <r>
      <rPr>
        <sz val="12"/>
        <rFont val="DevLys 010"/>
      </rPr>
      <t>LVs.MMZ fMMsD'ku</t>
    </r>
    <r>
      <rPr>
        <sz val="12"/>
        <rFont val="Times New Roman"/>
        <family val="1"/>
      </rPr>
      <t xml:space="preserve"> (Standard Deduction)</t>
    </r>
    <r>
      <rPr>
        <sz val="12"/>
        <rFont val="DevLys 010"/>
      </rPr>
      <t xml:space="preserve">  75]000 ¼vf/kdre½</t>
    </r>
  </si>
  <si>
    <r>
      <t xml:space="preserve">                                                             dqy ¼7</t>
    </r>
    <r>
      <rPr>
        <sz val="12"/>
        <rFont val="Times New Roman"/>
        <family val="1"/>
      </rPr>
      <t>A</t>
    </r>
    <r>
      <rPr>
        <sz val="12"/>
        <rFont val="DevLys 010"/>
      </rPr>
      <t>,oa 7</t>
    </r>
    <r>
      <rPr>
        <sz val="12"/>
        <rFont val="Times New Roman"/>
        <family val="1"/>
      </rPr>
      <t>B</t>
    </r>
    <r>
      <rPr>
        <sz val="12"/>
        <rFont val="DevLys 010"/>
      </rPr>
      <t>½</t>
    </r>
  </si>
  <si>
    <t>ldy vk;                                                            ;ksx ¼4$5½</t>
  </si>
  <si>
    <t xml:space="preserve">                                                          'ks"k &amp;@$¼3¼v½ ,oa ;ksx 3¼c½ dk½  </t>
  </si>
  <si>
    <t xml:space="preserve">                                                             dqy  &amp;@$¼2,oa 3½</t>
  </si>
  <si>
    <r>
      <t xml:space="preserve"> x`g _.k ij C;kt
</t>
    </r>
    <r>
      <rPr>
        <sz val="12"/>
        <rFont val="Times New Roman"/>
        <family val="1"/>
      </rPr>
      <t>Let Out House Property Only</t>
    </r>
  </si>
  <si>
    <t xml:space="preserve">  ;ksx 3¼c½</t>
  </si>
  <si>
    <r>
      <t xml:space="preserve"> fdjk;s dk </t>
    </r>
    <r>
      <rPr>
        <sz val="12"/>
        <rFont val="Calibri"/>
        <family val="2"/>
        <scheme val="minor"/>
      </rPr>
      <t>30%</t>
    </r>
  </si>
  <si>
    <r>
      <rPr>
        <sz val="12"/>
        <rFont val="Times New Roman"/>
        <family val="1"/>
      </rPr>
      <t>(B)</t>
    </r>
    <r>
      <rPr>
        <sz val="12"/>
        <rFont val="DevLys 010"/>
      </rPr>
      <t xml:space="preserve">?kVkb;s&amp; /kkjk </t>
    </r>
    <r>
      <rPr>
        <sz val="12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14</t>
    </r>
    <r>
      <rPr>
        <sz val="12"/>
        <rFont val="Arial"/>
        <family val="2"/>
      </rPr>
      <t xml:space="preserve">%) </t>
    </r>
    <r>
      <rPr>
        <sz val="12"/>
        <rFont val="DevLys 010"/>
      </rPr>
      <t>i`Fkd ls NwV</t>
    </r>
  </si>
  <si>
    <r>
      <t xml:space="preserve">dj ;ksX; vk; </t>
    </r>
    <r>
      <rPr>
        <sz val="12"/>
        <rFont val="Arial"/>
        <family val="2"/>
      </rPr>
      <t>( 6 - 7 )</t>
    </r>
  </si>
  <si>
    <r>
      <t xml:space="preserve">dqy vk; dh jkf'k dks lEiw.kZ djuk ¼ nl ds xq.kd esa ½ /kkjk </t>
    </r>
    <r>
      <rPr>
        <sz val="12"/>
        <rFont val="Calibri"/>
        <family val="2"/>
        <scheme val="minor"/>
      </rPr>
      <t>288A</t>
    </r>
  </si>
  <si>
    <r>
      <t xml:space="preserve">4,00,000 </t>
    </r>
    <r>
      <rPr>
        <sz val="12"/>
        <rFont val="DevLys 010"/>
      </rPr>
      <t>rd</t>
    </r>
  </si>
  <si>
    <r>
      <rPr>
        <sz val="12"/>
        <rFont val="Calibri"/>
        <family val="2"/>
        <scheme val="minor"/>
      </rPr>
      <t>25,00,001</t>
    </r>
    <r>
      <rPr>
        <sz val="12"/>
        <rFont val="DevLys 010"/>
      </rPr>
      <t xml:space="preserve"> ls vf/kd</t>
    </r>
  </si>
  <si>
    <r>
      <t>¼2½ NwV ?kkjk 87¼</t>
    </r>
    <r>
      <rPr>
        <sz val="12"/>
        <rFont val="Calibri"/>
        <family val="2"/>
        <scheme val="minor"/>
      </rPr>
      <t>A</t>
    </r>
    <r>
      <rPr>
        <sz val="12"/>
        <rFont val="DevLys 010"/>
      </rPr>
      <t>½ ¼12-00 yk[k rd dh dj ;ksX; vk; ij vk;dj dh NwV ½ या छूट धारा 115</t>
    </r>
    <r>
      <rPr>
        <sz val="12"/>
        <rFont val="Times New Roman"/>
        <family val="1"/>
      </rPr>
      <t>A (Marginal Relief)</t>
    </r>
  </si>
  <si>
    <r>
      <t xml:space="preserve">¼4½ f'k{kk midj </t>
    </r>
    <r>
      <rPr>
        <sz val="12"/>
        <rFont val="Times New Roman"/>
        <family val="1"/>
      </rPr>
      <t>2</t>
    </r>
    <r>
      <rPr>
        <sz val="12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2"/>
        <rFont val="Arial"/>
        <family val="2"/>
      </rPr>
      <t>%  (</t>
    </r>
    <r>
      <rPr>
        <sz val="12"/>
        <rFont val="DevLys 010"/>
      </rPr>
      <t xml:space="preserve">;ksx </t>
    </r>
    <r>
      <rPr>
        <sz val="12"/>
        <rFont val="Times New Roman"/>
        <family val="1"/>
      </rPr>
      <t>4</t>
    </r>
    <r>
      <rPr>
        <sz val="12"/>
        <rFont val="Arial"/>
        <family val="2"/>
      </rPr>
      <t>%)</t>
    </r>
  </si>
  <si>
    <r>
      <t xml:space="preserve">?kVkb;s  %&amp; jkgr /kkjk </t>
    </r>
    <r>
      <rPr>
        <sz val="12"/>
        <rFont val="Arial"/>
        <family val="2"/>
      </rPr>
      <t>89</t>
    </r>
    <r>
      <rPr>
        <sz val="12"/>
        <rFont val="DevLys 010"/>
      </rPr>
      <t xml:space="preserve"> ds rgr </t>
    </r>
  </si>
  <si>
    <t>DA Arrear (07/25-9/25)</t>
  </si>
  <si>
    <t>DA Arrear (01/25-03/25)</t>
  </si>
  <si>
    <t>DA Arrear (07/25-09/25)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</si>
</sst>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7" x14ac:knownFonts="1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1"/>
      <name val="Calibri"/>
      <family val="2"/>
      <scheme val="minor"/>
    </font>
    <font>
      <b/>
      <sz val="20"/>
      <name val="Kruti Dev 010"/>
    </font>
    <font>
      <sz val="13"/>
      <name val="Kruti Dev 010"/>
    </font>
    <font>
      <sz val="14"/>
      <name val="Arial"/>
      <family val="2"/>
    </font>
    <font>
      <b/>
      <sz val="14"/>
      <name val="DevLys 010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4"/>
      <color theme="1"/>
      <name val="Times New Roman"/>
      <family val="1"/>
    </font>
    <font>
      <b/>
      <sz val="19"/>
      <color theme="1"/>
      <name val="Kruti Dev 010"/>
    </font>
    <font>
      <b/>
      <sz val="18"/>
      <color theme="1"/>
      <name val="DevLys 010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sz val="10"/>
      <name val="Arial"/>
    </font>
    <font>
      <u/>
      <sz val="14"/>
      <color theme="10"/>
      <name val="Arial"/>
      <family val="2"/>
    </font>
    <font>
      <b/>
      <u/>
      <sz val="20"/>
      <name val="Times New Roman"/>
      <family val="1"/>
    </font>
    <font>
      <b/>
      <sz val="16"/>
      <name val="Times New Roman"/>
      <family val="1"/>
    </font>
    <font>
      <b/>
      <sz val="13"/>
      <color indexed="63"/>
      <name val="Calibri"/>
      <family val="2"/>
    </font>
    <font>
      <sz val="13"/>
      <name val="Cambria"/>
      <family val="1"/>
      <scheme val="major"/>
    </font>
    <font>
      <b/>
      <sz val="13"/>
      <name val="Cambria"/>
      <family val="1"/>
      <scheme val="major"/>
    </font>
    <font>
      <b/>
      <sz val="12"/>
      <color theme="1"/>
      <name val="Calibri"/>
      <family val="2"/>
      <scheme val="minor"/>
    </font>
    <font>
      <b/>
      <sz val="14"/>
      <name val="DevLys 010"/>
      <family val="1"/>
    </font>
    <font>
      <sz val="9"/>
      <name val="Calibri"/>
      <family val="2"/>
      <scheme val="minor"/>
    </font>
    <font>
      <b/>
      <i/>
      <sz val="12"/>
      <name val="Calibri"/>
      <family val="2"/>
      <scheme val="minor"/>
    </font>
    <font>
      <u/>
      <sz val="12"/>
      <color theme="10"/>
      <name val="Arial"/>
      <family val="2"/>
    </font>
    <font>
      <b/>
      <i/>
      <sz val="12"/>
      <color theme="5" tint="-0.249977111117893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9" fontId="74" fillId="0" borderId="0" applyFont="0" applyFill="0" applyBorder="0" applyAlignment="0" applyProtection="0"/>
  </cellStyleXfs>
  <cellXfs count="282">
    <xf numFmtId="0" fontId="0" fillId="0" borderId="0" xfId="0"/>
    <xf numFmtId="2" fontId="1" fillId="0" borderId="0" xfId="0" applyNumberFormat="1" applyFont="1"/>
    <xf numFmtId="2" fontId="9" fillId="24" borderId="0" xfId="0" applyNumberFormat="1" applyFont="1" applyFill="1" applyAlignment="1">
      <alignment horizontal="left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textRotation="90"/>
    </xf>
    <xf numFmtId="0" fontId="3" fillId="0" borderId="0" xfId="0" applyFont="1"/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/>
    <xf numFmtId="0" fontId="28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0" fillId="0" borderId="0" xfId="0" applyFont="1" applyAlignment="1">
      <alignment horizontal="center" textRotation="90" wrapText="1"/>
    </xf>
    <xf numFmtId="0" fontId="34" fillId="0" borderId="0" xfId="0" applyFont="1" applyAlignment="1">
      <alignment vertical="center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Font="1" applyAlignment="1">
      <alignment vertical="top"/>
    </xf>
    <xf numFmtId="0" fontId="5" fillId="27" borderId="0" xfId="0" applyFont="1" applyFill="1" applyAlignment="1">
      <alignment vertical="top"/>
    </xf>
    <xf numFmtId="0" fontId="4" fillId="0" borderId="0" xfId="0" applyFont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30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3" fillId="0" borderId="0" xfId="37" applyNumberFormat="1" applyFont="1" applyAlignment="1">
      <alignment horizontal="right" vertical="center"/>
    </xf>
    <xf numFmtId="2" fontId="1" fillId="0" borderId="0" xfId="0" applyNumberFormat="1" applyFont="1" applyAlignment="1">
      <alignment vertical="center"/>
    </xf>
    <xf numFmtId="2" fontId="9" fillId="24" borderId="0" xfId="0" applyNumberFormat="1" applyFont="1" applyFill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0" fontId="2" fillId="0" borderId="10" xfId="37" applyFont="1" applyBorder="1" applyAlignment="1">
      <alignment horizontal="center" vertical="center" wrapText="1"/>
    </xf>
    <xf numFmtId="1" fontId="33" fillId="0" borderId="10" xfId="37" applyNumberFormat="1" applyFont="1" applyBorder="1" applyAlignment="1">
      <alignment horizontal="center" vertical="center" wrapText="1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55" fillId="31" borderId="17" xfId="0" applyNumberFormat="1" applyFont="1" applyFill="1" applyBorder="1" applyAlignment="1">
      <alignment horizontal="center" vertical="center"/>
    </xf>
    <xf numFmtId="1" fontId="56" fillId="30" borderId="0" xfId="0" applyNumberFormat="1" applyFont="1" applyFill="1" applyAlignment="1">
      <alignment horizontal="center" vertical="center"/>
    </xf>
    <xf numFmtId="1" fontId="56" fillId="31" borderId="0" xfId="0" applyNumberFormat="1" applyFont="1" applyFill="1" applyAlignment="1">
      <alignment horizontal="center" vertical="center"/>
    </xf>
    <xf numFmtId="1" fontId="56" fillId="29" borderId="0" xfId="0" applyNumberFormat="1" applyFont="1" applyFill="1" applyAlignment="1">
      <alignment horizontal="center" vertical="center"/>
    </xf>
    <xf numFmtId="2" fontId="56" fillId="29" borderId="0" xfId="0" applyNumberFormat="1" applyFont="1" applyFill="1" applyAlignment="1">
      <alignment horizontal="center" vertical="center"/>
    </xf>
    <xf numFmtId="2" fontId="58" fillId="32" borderId="17" xfId="0" applyNumberFormat="1" applyFont="1" applyFill="1" applyBorder="1" applyAlignment="1">
      <alignment horizontal="center"/>
    </xf>
    <xf numFmtId="0" fontId="66" fillId="33" borderId="10" xfId="0" applyFont="1" applyFill="1" applyBorder="1" applyAlignment="1">
      <alignment horizontal="right" vertical="center" indent="1"/>
    </xf>
    <xf numFmtId="0" fontId="67" fillId="33" borderId="10" xfId="0" applyFont="1" applyFill="1" applyBorder="1" applyAlignment="1">
      <alignment horizontal="right" vertical="center" indent="1"/>
    </xf>
    <xf numFmtId="0" fontId="66" fillId="33" borderId="10" xfId="0" applyFont="1" applyFill="1" applyBorder="1" applyAlignment="1">
      <alignment horizontal="right"/>
    </xf>
    <xf numFmtId="0" fontId="66" fillId="33" borderId="10" xfId="0" applyFont="1" applyFill="1" applyBorder="1" applyAlignment="1">
      <alignment horizontal="right" indent="1"/>
    </xf>
    <xf numFmtId="0" fontId="66" fillId="33" borderId="10" xfId="0" applyFont="1" applyFill="1" applyBorder="1" applyAlignment="1">
      <alignment horizontal="left" indent="1"/>
    </xf>
    <xf numFmtId="0" fontId="69" fillId="23" borderId="36" xfId="39" applyNumberFormat="1" applyFont="1" applyBorder="1" applyAlignment="1" applyProtection="1">
      <alignment horizontal="left"/>
      <protection locked="0"/>
    </xf>
    <xf numFmtId="0" fontId="65" fillId="0" borderId="14" xfId="0" applyFont="1" applyBorder="1"/>
    <xf numFmtId="0" fontId="65" fillId="23" borderId="36" xfId="39" applyFont="1" applyBorder="1" applyAlignment="1">
      <alignment horizontal="left"/>
    </xf>
    <xf numFmtId="0" fontId="67" fillId="23" borderId="10" xfId="39" applyFont="1" applyBorder="1" applyAlignment="1" applyProtection="1">
      <alignment horizontal="left" vertical="center"/>
      <protection locked="0"/>
    </xf>
    <xf numFmtId="49" fontId="67" fillId="23" borderId="10" xfId="39" applyNumberFormat="1" applyFont="1" applyBorder="1" applyAlignment="1" applyProtection="1">
      <alignment horizontal="left" vertical="center"/>
      <protection locked="0"/>
    </xf>
    <xf numFmtId="1" fontId="67" fillId="23" borderId="10" xfId="39" applyNumberFormat="1" applyFont="1" applyBorder="1" applyAlignment="1" applyProtection="1">
      <alignment horizontal="left" vertical="center"/>
      <protection locked="0"/>
    </xf>
    <xf numFmtId="3" fontId="67" fillId="23" borderId="10" xfId="39" applyNumberFormat="1" applyFont="1" applyBorder="1" applyAlignment="1" applyProtection="1">
      <alignment horizontal="left" vertical="center"/>
      <protection locked="0"/>
    </xf>
    <xf numFmtId="0" fontId="67" fillId="23" borderId="10" xfId="39" applyNumberFormat="1" applyFont="1" applyBorder="1" applyAlignment="1" applyProtection="1">
      <alignment horizontal="left" vertical="center"/>
      <protection locked="0"/>
    </xf>
    <xf numFmtId="9" fontId="62" fillId="23" borderId="10" xfId="39" applyNumberFormat="1" applyFont="1" applyBorder="1" applyAlignment="1" applyProtection="1">
      <alignment horizontal="left" vertical="center"/>
      <protection locked="0"/>
    </xf>
    <xf numFmtId="0" fontId="62" fillId="23" borderId="10" xfId="39" applyNumberFormat="1" applyFont="1" applyBorder="1" applyAlignment="1" applyProtection="1">
      <alignment horizontal="left" vertical="center"/>
      <protection locked="0"/>
    </xf>
    <xf numFmtId="0" fontId="70" fillId="23" borderId="10" xfId="39" applyNumberFormat="1" applyFont="1" applyBorder="1" applyAlignment="1" applyProtection="1">
      <alignment horizontal="left" vertical="center"/>
      <protection locked="0"/>
    </xf>
    <xf numFmtId="0" fontId="67" fillId="23" borderId="10" xfId="39" applyFont="1" applyBorder="1" applyAlignment="1">
      <alignment horizontal="left" vertical="center"/>
    </xf>
    <xf numFmtId="0" fontId="72" fillId="33" borderId="10" xfId="0" applyFont="1" applyFill="1" applyBorder="1" applyAlignment="1">
      <alignment horizontal="right" indent="1"/>
    </xf>
    <xf numFmtId="2" fontId="64" fillId="34" borderId="10" xfId="0" applyNumberFormat="1" applyFont="1" applyFill="1" applyBorder="1" applyAlignment="1">
      <alignment horizontal="left" indent="1"/>
    </xf>
    <xf numFmtId="2" fontId="32" fillId="34" borderId="10" xfId="0" applyNumberFormat="1" applyFont="1" applyFill="1" applyBorder="1" applyAlignment="1" applyProtection="1">
      <alignment horizontal="center"/>
      <protection locked="0"/>
    </xf>
    <xf numFmtId="2" fontId="64" fillId="34" borderId="10" xfId="0" applyNumberFormat="1" applyFont="1" applyFill="1" applyBorder="1" applyAlignment="1">
      <alignment horizontal="left" vertical="center" wrapText="1" indent="1"/>
    </xf>
    <xf numFmtId="2" fontId="32" fillId="34" borderId="10" xfId="0" applyNumberFormat="1" applyFont="1" applyFill="1" applyBorder="1" applyAlignment="1" applyProtection="1">
      <alignment horizontal="center" vertical="center"/>
      <protection locked="0"/>
    </xf>
    <xf numFmtId="2" fontId="64" fillId="34" borderId="10" xfId="0" applyNumberFormat="1" applyFont="1" applyFill="1" applyBorder="1" applyAlignment="1">
      <alignment horizontal="left" vertical="center" indent="1"/>
    </xf>
    <xf numFmtId="2" fontId="54" fillId="31" borderId="11" xfId="0" applyNumberFormat="1" applyFont="1" applyFill="1" applyBorder="1" applyAlignment="1">
      <alignment horizontal="center" vertical="center"/>
    </xf>
    <xf numFmtId="2" fontId="54" fillId="31" borderId="11" xfId="0" applyNumberFormat="1" applyFont="1" applyFill="1" applyBorder="1" applyAlignment="1">
      <alignment vertical="center"/>
    </xf>
    <xf numFmtId="9" fontId="67" fillId="33" borderId="10" xfId="45" applyFont="1" applyFill="1" applyBorder="1" applyAlignment="1">
      <alignment horizontal="right" vertical="center" indent="1"/>
    </xf>
    <xf numFmtId="0" fontId="5" fillId="0" borderId="0" xfId="0" applyFont="1"/>
    <xf numFmtId="0" fontId="1" fillId="0" borderId="10" xfId="37" applyFont="1" applyBorder="1" applyAlignment="1">
      <alignment horizontal="center" vertical="center"/>
    </xf>
    <xf numFmtId="0" fontId="62" fillId="23" borderId="17" xfId="39" applyNumberFormat="1" applyFont="1" applyBorder="1" applyAlignment="1" applyProtection="1">
      <alignment horizontal="left" vertical="center"/>
      <protection locked="0"/>
    </xf>
    <xf numFmtId="0" fontId="65" fillId="23" borderId="0" xfId="39" applyFont="1" applyBorder="1" applyAlignment="1">
      <alignment horizontal="left"/>
    </xf>
    <xf numFmtId="0" fontId="62" fillId="23" borderId="14" xfId="39" applyNumberFormat="1" applyFont="1" applyBorder="1" applyAlignment="1" applyProtection="1">
      <alignment horizontal="left" vertical="center"/>
      <protection locked="0"/>
    </xf>
    <xf numFmtId="0" fontId="0" fillId="0" borderId="10" xfId="0" applyBorder="1" applyAlignment="1">
      <alignment vertical="center"/>
    </xf>
    <xf numFmtId="0" fontId="34" fillId="0" borderId="10" xfId="37" applyFont="1" applyBorder="1" applyAlignment="1">
      <alignment horizontal="right" vertical="center"/>
    </xf>
    <xf numFmtId="0" fontId="50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53" fillId="0" borderId="0" xfId="0" applyFont="1" applyAlignment="1">
      <alignment vertical="top"/>
    </xf>
    <xf numFmtId="0" fontId="48" fillId="0" borderId="0" xfId="0" applyFont="1" applyAlignment="1">
      <alignment horizontal="center" textRotation="90" wrapText="1"/>
    </xf>
    <xf numFmtId="0" fontId="42" fillId="0" borderId="0" xfId="0" applyFont="1" applyAlignment="1">
      <alignment vertical="center"/>
    </xf>
    <xf numFmtId="3" fontId="42" fillId="34" borderId="10" xfId="0" applyNumberFormat="1" applyFont="1" applyFill="1" applyBorder="1" applyAlignment="1" applyProtection="1">
      <alignment horizontal="center" vertical="center"/>
      <protection locked="0" hidden="1"/>
    </xf>
    <xf numFmtId="0" fontId="42" fillId="0" borderId="10" xfId="0" applyFont="1" applyBorder="1" applyAlignment="1" applyProtection="1">
      <alignment horizontal="center" vertical="center"/>
      <protection locked="0" hidden="1"/>
    </xf>
    <xf numFmtId="3" fontId="42" fillId="0" borderId="10" xfId="0" applyNumberFormat="1" applyFont="1" applyBorder="1" applyAlignment="1" applyProtection="1">
      <alignment horizontal="center" vertical="center"/>
      <protection locked="0" hidden="1"/>
    </xf>
    <xf numFmtId="0" fontId="42" fillId="0" borderId="10" xfId="0" applyFont="1" applyBorder="1" applyAlignment="1" applyProtection="1">
      <alignment horizontal="center" vertical="center"/>
      <protection locked="0"/>
    </xf>
    <xf numFmtId="2" fontId="42" fillId="0" borderId="10" xfId="0" applyNumberFormat="1" applyFont="1" applyBorder="1" applyAlignment="1" applyProtection="1">
      <alignment horizontal="center" vertical="center"/>
      <protection hidden="1"/>
    </xf>
    <xf numFmtId="2" fontId="48" fillId="0" borderId="10" xfId="0" applyNumberFormat="1" applyFont="1" applyBorder="1" applyAlignment="1" applyProtection="1">
      <alignment horizontal="center" vertical="center"/>
      <protection hidden="1"/>
    </xf>
    <xf numFmtId="0" fontId="42" fillId="0" borderId="21" xfId="0" applyFont="1" applyBorder="1" applyAlignment="1" applyProtection="1">
      <alignment horizontal="center" vertical="center"/>
      <protection locked="0" hidden="1"/>
    </xf>
    <xf numFmtId="1" fontId="42" fillId="0" borderId="10" xfId="0" applyNumberFormat="1" applyFont="1" applyBorder="1" applyAlignment="1" applyProtection="1">
      <alignment horizontal="center" vertical="center"/>
      <protection locked="0" hidden="1"/>
    </xf>
    <xf numFmtId="0" fontId="78" fillId="32" borderId="12" xfId="40" applyNumberFormat="1" applyFont="1" applyFill="1" applyBorder="1" applyAlignment="1">
      <alignment horizontal="center" vertical="top"/>
    </xf>
    <xf numFmtId="0" fontId="78" fillId="32" borderId="13" xfId="40" applyNumberFormat="1" applyFont="1" applyFill="1" applyBorder="1" applyAlignment="1">
      <alignment horizontal="right" vertical="top"/>
    </xf>
    <xf numFmtId="0" fontId="78" fillId="32" borderId="13" xfId="40" applyNumberFormat="1" applyFont="1" applyFill="1" applyBorder="1" applyAlignment="1" applyProtection="1">
      <alignment horizontal="right" vertical="top"/>
    </xf>
    <xf numFmtId="0" fontId="79" fillId="29" borderId="25" xfId="0" applyFont="1" applyFill="1" applyBorder="1" applyAlignment="1">
      <alignment horizontal="center" vertical="center" wrapText="1"/>
    </xf>
    <xf numFmtId="0" fontId="79" fillId="29" borderId="15" xfId="0" applyFont="1" applyFill="1" applyBorder="1" applyAlignment="1">
      <alignment horizontal="center" textRotation="90" wrapText="1"/>
    </xf>
    <xf numFmtId="0" fontId="79" fillId="29" borderId="15" xfId="0" applyFont="1" applyFill="1" applyBorder="1" applyAlignment="1" applyProtection="1">
      <alignment horizontal="center" textRotation="90" wrapText="1"/>
      <protection locked="0"/>
    </xf>
    <xf numFmtId="0" fontId="80" fillId="29" borderId="15" xfId="0" applyFont="1" applyFill="1" applyBorder="1" applyAlignment="1">
      <alignment horizontal="center" textRotation="90" wrapText="1"/>
    </xf>
    <xf numFmtId="0" fontId="79" fillId="29" borderId="35" xfId="0" applyFont="1" applyFill="1" applyBorder="1" applyAlignment="1">
      <alignment horizontal="center" vertical="center" wrapText="1"/>
    </xf>
    <xf numFmtId="17" fontId="33" fillId="0" borderId="22" xfId="0" applyNumberFormat="1" applyFont="1" applyBorder="1" applyAlignment="1">
      <alignment horizontal="center" vertical="center"/>
    </xf>
    <xf numFmtId="17" fontId="33" fillId="0" borderId="22" xfId="0" applyNumberFormat="1" applyFont="1" applyBorder="1" applyAlignment="1" applyProtection="1">
      <alignment horizontal="center" vertical="center" wrapText="1"/>
      <protection locked="0"/>
    </xf>
    <xf numFmtId="17" fontId="33" fillId="0" borderId="22" xfId="0" applyNumberFormat="1" applyFont="1" applyBorder="1" applyAlignment="1" applyProtection="1">
      <alignment horizontal="center" vertical="center"/>
      <protection locked="0"/>
    </xf>
    <xf numFmtId="0" fontId="81" fillId="29" borderId="27" xfId="0" applyFont="1" applyFill="1" applyBorder="1" applyAlignment="1">
      <alignment horizontal="center" vertical="center" textRotation="90"/>
    </xf>
    <xf numFmtId="3" fontId="81" fillId="29" borderId="28" xfId="0" applyNumberFormat="1" applyFont="1" applyFill="1" applyBorder="1" applyAlignment="1" applyProtection="1">
      <alignment horizontal="center" vertical="center" textRotation="90"/>
      <protection hidden="1"/>
    </xf>
    <xf numFmtId="0" fontId="81" fillId="29" borderId="28" xfId="0" applyFont="1" applyFill="1" applyBorder="1" applyAlignment="1" applyProtection="1">
      <alignment horizontal="center" vertical="center" textRotation="90"/>
      <protection hidden="1"/>
    </xf>
    <xf numFmtId="2" fontId="81" fillId="29" borderId="28" xfId="0" applyNumberFormat="1" applyFont="1" applyFill="1" applyBorder="1" applyAlignment="1" applyProtection="1">
      <alignment horizontal="center" vertical="center" textRotation="90"/>
      <protection hidden="1"/>
    </xf>
    <xf numFmtId="0" fontId="81" fillId="29" borderId="29" xfId="0" applyFont="1" applyFill="1" applyBorder="1" applyAlignment="1" applyProtection="1">
      <alignment horizontal="center" vertical="center" textRotation="90"/>
      <protection hidden="1"/>
    </xf>
    <xf numFmtId="3" fontId="48" fillId="0" borderId="10" xfId="0" applyNumberFormat="1" applyFont="1" applyBorder="1" applyAlignment="1" applyProtection="1">
      <alignment horizontal="center" vertical="center"/>
      <protection hidden="1"/>
    </xf>
    <xf numFmtId="0" fontId="59" fillId="0" borderId="0" xfId="44" applyNumberFormat="1" applyFill="1" applyBorder="1" applyAlignment="1" applyProtection="1">
      <alignment vertical="top"/>
    </xf>
    <xf numFmtId="0" fontId="79" fillId="29" borderId="15" xfId="0" applyFont="1" applyFill="1" applyBorder="1" applyAlignment="1">
      <alignment horizontal="center" textRotation="90"/>
    </xf>
    <xf numFmtId="0" fontId="59" fillId="0" borderId="0" xfId="44" applyAlignment="1" applyProtection="1"/>
    <xf numFmtId="0" fontId="49" fillId="0" borderId="0" xfId="37" applyFont="1" applyAlignment="1">
      <alignment vertical="top" wrapText="1"/>
    </xf>
    <xf numFmtId="0" fontId="5" fillId="0" borderId="0" xfId="0" applyFont="1" applyAlignment="1">
      <alignment horizontal="center"/>
    </xf>
    <xf numFmtId="0" fontId="82" fillId="33" borderId="10" xfId="0" applyFont="1" applyFill="1" applyBorder="1" applyAlignment="1">
      <alignment horizontal="right" vertical="center" indent="1"/>
    </xf>
    <xf numFmtId="0" fontId="9" fillId="33" borderId="14" xfId="0" applyFont="1" applyFill="1" applyBorder="1" applyAlignment="1">
      <alignment horizontal="right" indent="1"/>
    </xf>
    <xf numFmtId="17" fontId="83" fillId="0" borderId="22" xfId="0" applyNumberFormat="1" applyFont="1" applyBorder="1" applyAlignment="1" applyProtection="1">
      <alignment horizontal="center" vertical="center" wrapText="1"/>
      <protection locked="0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center" vertical="center" wrapText="1"/>
    </xf>
    <xf numFmtId="0" fontId="1" fillId="0" borderId="23" xfId="37" applyFont="1" applyBorder="1" applyAlignment="1">
      <alignment horizontal="center" vertical="top"/>
    </xf>
    <xf numFmtId="0" fontId="1" fillId="0" borderId="10" xfId="37" applyFont="1" applyBorder="1" applyAlignment="1">
      <alignment horizontal="center" vertical="center"/>
    </xf>
    <xf numFmtId="0" fontId="51" fillId="33" borderId="10" xfId="0" applyFont="1" applyFill="1" applyBorder="1" applyAlignment="1">
      <alignment horizontal="right" vertical="center" indent="1"/>
    </xf>
    <xf numFmtId="0" fontId="1" fillId="0" borderId="24" xfId="37" applyFont="1" applyBorder="1" applyAlignment="1">
      <alignment horizontal="left" vertical="top"/>
    </xf>
    <xf numFmtId="0" fontId="6" fillId="0" borderId="10" xfId="0" applyFont="1" applyBorder="1" applyAlignment="1">
      <alignment vertical="center"/>
    </xf>
    <xf numFmtId="0" fontId="33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right" vertical="center"/>
    </xf>
    <xf numFmtId="9" fontId="33" fillId="0" borderId="10" xfId="37" applyNumberFormat="1" applyFont="1" applyBorder="1" applyAlignment="1">
      <alignment horizontal="center" vertical="center"/>
    </xf>
    <xf numFmtId="0" fontId="46" fillId="0" borderId="0" xfId="37" applyFont="1" applyAlignment="1">
      <alignment horizontal="right" vertical="center"/>
    </xf>
    <xf numFmtId="0" fontId="2" fillId="0" borderId="0" xfId="37" applyFont="1" applyAlignment="1">
      <alignment horizontal="right"/>
    </xf>
    <xf numFmtId="0" fontId="1" fillId="0" borderId="0" xfId="37" applyFont="1" applyAlignment="1">
      <alignment horizontal="right"/>
    </xf>
    <xf numFmtId="0" fontId="85" fillId="0" borderId="0" xfId="44" applyNumberFormat="1" applyFont="1" applyFill="1" applyBorder="1" applyAlignment="1" applyProtection="1">
      <alignment vertical="top"/>
    </xf>
    <xf numFmtId="0" fontId="86" fillId="0" borderId="0" xfId="37" applyFont="1" applyAlignment="1">
      <alignment vertical="top" wrapText="1"/>
    </xf>
    <xf numFmtId="0" fontId="71" fillId="31" borderId="10" xfId="0" applyFont="1" applyFill="1" applyBorder="1" applyAlignment="1">
      <alignment horizontal="center" vertical="center"/>
    </xf>
    <xf numFmtId="0" fontId="67" fillId="23" borderId="10" xfId="39" applyFont="1" applyBorder="1" applyAlignment="1" applyProtection="1">
      <alignment vertical="center"/>
      <protection locked="0"/>
    </xf>
    <xf numFmtId="0" fontId="75" fillId="35" borderId="17" xfId="44" applyFont="1" applyFill="1" applyBorder="1" applyAlignment="1" applyProtection="1">
      <alignment horizontal="center"/>
    </xf>
    <xf numFmtId="0" fontId="65" fillId="35" borderId="17" xfId="0" applyFont="1" applyFill="1" applyBorder="1" applyAlignment="1">
      <alignment horizontal="center"/>
    </xf>
    <xf numFmtId="0" fontId="78" fillId="32" borderId="13" xfId="40" applyNumberFormat="1" applyFont="1" applyFill="1" applyBorder="1" applyAlignment="1" applyProtection="1">
      <alignment horizontal="left" vertical="top"/>
    </xf>
    <xf numFmtId="0" fontId="78" fillId="32" borderId="13" xfId="40" applyNumberFormat="1" applyFont="1" applyFill="1" applyBorder="1" applyAlignment="1" applyProtection="1">
      <alignment horizontal="left" vertical="top" indent="1"/>
      <protection locked="0"/>
    </xf>
    <xf numFmtId="0" fontId="76" fillId="31" borderId="10" xfId="0" applyFont="1" applyFill="1" applyBorder="1" applyAlignment="1" applyProtection="1">
      <alignment horizontal="center" vertical="center"/>
      <protection locked="0"/>
    </xf>
    <xf numFmtId="0" fontId="77" fillId="32" borderId="37" xfId="0" applyFont="1" applyFill="1" applyBorder="1" applyAlignment="1">
      <alignment horizontal="center" vertical="center"/>
    </xf>
    <xf numFmtId="0" fontId="78" fillId="32" borderId="13" xfId="40" applyNumberFormat="1" applyFont="1" applyFill="1" applyBorder="1" applyAlignment="1" applyProtection="1">
      <alignment horizontal="left" vertical="top" wrapText="1" indent="1"/>
      <protection locked="0"/>
    </xf>
    <xf numFmtId="49" fontId="78" fillId="32" borderId="13" xfId="40" applyNumberFormat="1" applyFont="1" applyFill="1" applyBorder="1" applyAlignment="1">
      <alignment horizontal="left" vertical="top" indent="1"/>
    </xf>
    <xf numFmtId="49" fontId="78" fillId="32" borderId="14" xfId="40" applyNumberFormat="1" applyFont="1" applyFill="1" applyBorder="1" applyAlignment="1">
      <alignment horizontal="left" vertical="top" indent="1"/>
    </xf>
    <xf numFmtId="0" fontId="78" fillId="32" borderId="13" xfId="40" applyNumberFormat="1" applyFont="1" applyFill="1" applyBorder="1" applyAlignment="1">
      <alignment horizontal="center" vertical="top"/>
    </xf>
    <xf numFmtId="2" fontId="60" fillId="28" borderId="0" xfId="44" applyNumberFormat="1" applyFont="1" applyFill="1" applyBorder="1" applyAlignment="1" applyProtection="1">
      <alignment horizontal="center" vertical="center" wrapText="1"/>
    </xf>
    <xf numFmtId="2" fontId="61" fillId="28" borderId="0" xfId="0" applyNumberFormat="1" applyFont="1" applyFill="1" applyAlignment="1">
      <alignment horizontal="center" vertical="center"/>
    </xf>
    <xf numFmtId="2" fontId="63" fillId="32" borderId="0" xfId="0" applyNumberFormat="1" applyFont="1" applyFill="1" applyAlignment="1">
      <alignment horizontal="center" vertical="center"/>
    </xf>
    <xf numFmtId="1" fontId="56" fillId="31" borderId="0" xfId="0" applyNumberFormat="1" applyFont="1" applyFill="1" applyAlignment="1">
      <alignment horizontal="center" vertical="center" wrapText="1"/>
    </xf>
    <xf numFmtId="1" fontId="57" fillId="30" borderId="0" xfId="0" applyNumberFormat="1" applyFont="1" applyFill="1" applyAlignment="1">
      <alignment horizontal="center" vertical="center" wrapText="1"/>
    </xf>
    <xf numFmtId="2" fontId="9" fillId="24" borderId="0" xfId="0" applyNumberFormat="1" applyFont="1" applyFill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58" fillId="30" borderId="0" xfId="0" applyNumberFormat="1" applyFont="1" applyFill="1" applyAlignment="1">
      <alignment horizontal="center" vertical="center"/>
    </xf>
    <xf numFmtId="0" fontId="1" fillId="0" borderId="10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2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1" fillId="0" borderId="23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4" xfId="37" applyFont="1" applyBorder="1" applyAlignment="1">
      <alignment horizontal="center" vertical="top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8" fillId="0" borderId="10" xfId="37" applyFont="1" applyBorder="1" applyAlignment="1">
      <alignment horizontal="left" vertical="center" wrapText="1"/>
    </xf>
    <xf numFmtId="0" fontId="1" fillId="0" borderId="10" xfId="37" applyFont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8" xfId="37" applyFont="1" applyBorder="1" applyAlignment="1">
      <alignment horizontal="center" vertical="center"/>
    </xf>
    <xf numFmtId="0" fontId="1" fillId="0" borderId="34" xfId="37" applyFont="1" applyBorder="1" applyAlignment="1">
      <alignment horizontal="center" vertical="center"/>
    </xf>
    <xf numFmtId="0" fontId="1" fillId="0" borderId="31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3" xfId="37" applyFont="1" applyBorder="1" applyAlignment="1">
      <alignment horizontal="center" vertical="center"/>
    </xf>
    <xf numFmtId="0" fontId="29" fillId="0" borderId="10" xfId="37" applyFont="1" applyBorder="1" applyAlignment="1">
      <alignment horizontal="left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41" fillId="0" borderId="0" xfId="37" applyFont="1" applyAlignment="1">
      <alignment horizontal="center" vertical="center" wrapText="1"/>
    </xf>
    <xf numFmtId="0" fontId="44" fillId="0" borderId="0" xfId="37" applyFont="1" applyAlignment="1">
      <alignment horizontal="center" vertical="center"/>
    </xf>
    <xf numFmtId="0" fontId="51" fillId="0" borderId="0" xfId="37" applyFont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0" xfId="37" applyNumberFormat="1" applyFont="1" applyBorder="1" applyAlignment="1">
      <alignment horizontal="center" vertical="center"/>
    </xf>
    <xf numFmtId="0" fontId="31" fillId="0" borderId="12" xfId="38" applyFont="1" applyBorder="1" applyAlignment="1">
      <alignment horizontal="center" vertical="center"/>
    </xf>
    <xf numFmtId="0" fontId="31" fillId="0" borderId="13" xfId="38" applyFont="1" applyBorder="1" applyAlignment="1">
      <alignment horizontal="center" vertical="center"/>
    </xf>
    <xf numFmtId="0" fontId="31" fillId="0" borderId="14" xfId="38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5" fillId="0" borderId="0" xfId="37" applyFont="1" applyAlignment="1">
      <alignment horizont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6" fillId="0" borderId="0" xfId="0" applyFont="1" applyAlignment="1">
      <alignment horizontal="center"/>
    </xf>
    <xf numFmtId="0" fontId="46" fillId="0" borderId="0" xfId="0" applyFont="1" applyAlignment="1">
      <alignment horizontal="center" vertical="top"/>
    </xf>
    <xf numFmtId="0" fontId="84" fillId="0" borderId="10" xfId="37" applyFont="1" applyBorder="1" applyAlignment="1">
      <alignment horizontal="center" vertical="center"/>
    </xf>
    <xf numFmtId="0" fontId="84" fillId="0" borderId="12" xfId="38" applyFont="1" applyBorder="1" applyAlignment="1">
      <alignment horizontal="center" vertical="center"/>
    </xf>
    <xf numFmtId="0" fontId="84" fillId="0" borderId="13" xfId="38" applyFont="1" applyBorder="1" applyAlignment="1">
      <alignment horizontal="center" vertical="center"/>
    </xf>
    <xf numFmtId="0" fontId="84" fillId="0" borderId="14" xfId="38" applyFont="1" applyBorder="1" applyAlignment="1">
      <alignment horizontal="center" vertical="center"/>
    </xf>
    <xf numFmtId="0" fontId="1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 wrapText="1"/>
    </xf>
    <xf numFmtId="0" fontId="33" fillId="0" borderId="12" xfId="37" applyFont="1" applyBorder="1" applyAlignment="1">
      <alignment horizontal="center" vertical="center"/>
    </xf>
    <xf numFmtId="0" fontId="33" fillId="0" borderId="13" xfId="37" applyFont="1" applyBorder="1" applyAlignment="1">
      <alignment horizontal="center" vertical="center"/>
    </xf>
    <xf numFmtId="0" fontId="33" fillId="0" borderId="14" xfId="37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/>
    </xf>
    <xf numFmtId="0" fontId="2" fillId="0" borderId="12" xfId="37" applyFont="1" applyBorder="1" applyAlignment="1">
      <alignment horizontal="center" vertical="center"/>
    </xf>
    <xf numFmtId="0" fontId="2" fillId="0" borderId="13" xfId="37" applyFont="1" applyBorder="1" applyAlignment="1">
      <alignment horizontal="center" vertical="center"/>
    </xf>
    <xf numFmtId="0" fontId="2" fillId="0" borderId="14" xfId="37" applyFont="1" applyBorder="1" applyAlignment="1">
      <alignment horizontal="center" vertical="center"/>
    </xf>
    <xf numFmtId="0" fontId="6" fillId="0" borderId="12" xfId="37" applyFont="1" applyBorder="1" applyAlignment="1">
      <alignment horizontal="center" vertical="center"/>
    </xf>
    <xf numFmtId="0" fontId="6" fillId="0" borderId="13" xfId="37" applyFont="1" applyBorder="1" applyAlignment="1">
      <alignment horizontal="center" vertical="center"/>
    </xf>
    <xf numFmtId="0" fontId="6" fillId="0" borderId="14" xfId="37" applyFont="1" applyBorder="1" applyAlignment="1">
      <alignment horizontal="center" vertical="center"/>
    </xf>
    <xf numFmtId="9" fontId="33" fillId="0" borderId="12" xfId="37" applyNumberFormat="1" applyFont="1" applyBorder="1" applyAlignment="1">
      <alignment horizontal="center" vertical="center"/>
    </xf>
    <xf numFmtId="9" fontId="33" fillId="0" borderId="14" xfId="37" applyNumberFormat="1" applyFont="1" applyBorder="1" applyAlignment="1">
      <alignment horizontal="center" vertical="center"/>
    </xf>
    <xf numFmtId="0" fontId="46" fillId="0" borderId="27" xfId="37" applyFont="1" applyBorder="1" applyAlignment="1">
      <alignment horizontal="right" vertical="center"/>
    </xf>
    <xf numFmtId="0" fontId="46" fillId="0" borderId="28" xfId="37" applyFont="1" applyBorder="1" applyAlignment="1">
      <alignment horizontal="right" vertical="center"/>
    </xf>
    <xf numFmtId="2" fontId="1" fillId="0" borderId="10" xfId="0" applyNumberFormat="1" applyFont="1" applyBorder="1" applyAlignment="1">
      <alignment horizontal="left"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Percent" xfId="45" builtinId="5"/>
    <cellStyle name="Title" xfId="41" builtinId="15" customBuiltin="1"/>
    <cellStyle name="Total" xfId="42" builtinId="25" customBuiltin="1"/>
    <cellStyle name="Warning Text" xfId="43" builtinId="11" customBuiltin="1"/>
  </cellStyles>
  <dxfs count="5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geshmaheshwari.com/vetan-draw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ogeshmaheshwari.com/vetan-draw/" TargetMode="Externa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ogeshmaheshwari.com/vetan-draw/" TargetMode="External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Relationship Id="rId4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yogeshmaheshwari.com/vetan-dra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SheetLayoutView="100" workbookViewId="0">
      <selection activeCell="B2" sqref="B2:D2"/>
    </sheetView>
  </sheetViews>
  <sheetFormatPr defaultRowHeight="12.75" x14ac:dyDescent="0.2"/>
  <cols>
    <col min="1" max="1" width="57.42578125" bestFit="1" customWidth="1"/>
    <col min="2" max="2" width="32.28515625" customWidth="1"/>
    <col min="3" max="3" width="34.85546875" customWidth="1"/>
    <col min="4" max="4" width="29.28515625" customWidth="1"/>
    <col min="5" max="5" width="9.140625" hidden="1" customWidth="1"/>
    <col min="6" max="6" width="4" customWidth="1"/>
  </cols>
  <sheetData>
    <row r="1" spans="1:7" ht="23.25" x14ac:dyDescent="0.25">
      <c r="A1" s="143" t="s">
        <v>180</v>
      </c>
      <c r="B1" s="143"/>
      <c r="C1" s="143"/>
      <c r="D1" s="143"/>
      <c r="E1" s="61"/>
      <c r="G1" s="81"/>
    </row>
    <row r="2" spans="1:7" ht="18.75" x14ac:dyDescent="0.25">
      <c r="A2" s="55" t="s">
        <v>181</v>
      </c>
      <c r="B2" s="144" t="s">
        <v>200</v>
      </c>
      <c r="C2" s="144"/>
      <c r="D2" s="144"/>
      <c r="E2" s="61"/>
      <c r="G2" s="81"/>
    </row>
    <row r="3" spans="1:7" ht="18.75" x14ac:dyDescent="0.25">
      <c r="A3" s="55" t="s">
        <v>182</v>
      </c>
      <c r="B3" s="144" t="s">
        <v>183</v>
      </c>
      <c r="C3" s="144"/>
      <c r="D3" s="144"/>
      <c r="E3" s="61"/>
    </row>
    <row r="4" spans="1:7" ht="18.75" x14ac:dyDescent="0.25">
      <c r="A4" s="55" t="s">
        <v>184</v>
      </c>
      <c r="B4" s="63" t="s">
        <v>197</v>
      </c>
      <c r="C4" s="55" t="s">
        <v>28</v>
      </c>
      <c r="D4" s="63" t="s">
        <v>185</v>
      </c>
      <c r="E4" s="62"/>
    </row>
    <row r="5" spans="1:7" ht="18.75" x14ac:dyDescent="0.25">
      <c r="A5" s="55" t="s">
        <v>186</v>
      </c>
      <c r="B5" s="63" t="s">
        <v>187</v>
      </c>
      <c r="C5" s="55" t="s">
        <v>188</v>
      </c>
      <c r="D5" s="64" t="s">
        <v>189</v>
      </c>
      <c r="E5" s="62"/>
    </row>
    <row r="6" spans="1:7" ht="18.75" x14ac:dyDescent="0.25">
      <c r="A6" s="55" t="s">
        <v>190</v>
      </c>
      <c r="B6" s="66">
        <v>7000</v>
      </c>
      <c r="C6" s="56" t="s">
        <v>191</v>
      </c>
      <c r="D6" s="67"/>
      <c r="E6" s="62"/>
    </row>
    <row r="7" spans="1:7" ht="21" x14ac:dyDescent="0.25">
      <c r="A7" s="124" t="s">
        <v>217</v>
      </c>
      <c r="B7" s="66">
        <v>75400</v>
      </c>
      <c r="C7" s="80" t="s">
        <v>214</v>
      </c>
      <c r="D7" s="68">
        <v>0.1</v>
      </c>
      <c r="E7" s="62"/>
    </row>
    <row r="8" spans="1:7" ht="21" x14ac:dyDescent="0.3">
      <c r="A8" s="72" t="s">
        <v>209</v>
      </c>
      <c r="B8" s="69" t="s">
        <v>178</v>
      </c>
      <c r="C8" s="57" t="s">
        <v>192</v>
      </c>
      <c r="D8" s="69" t="s">
        <v>133</v>
      </c>
      <c r="E8" s="62"/>
    </row>
    <row r="9" spans="1:7" ht="24" x14ac:dyDescent="0.3">
      <c r="A9" s="58" t="s">
        <v>216</v>
      </c>
      <c r="B9" s="69" t="s">
        <v>178</v>
      </c>
      <c r="C9" s="55" t="s">
        <v>193</v>
      </c>
      <c r="D9" s="70">
        <v>4</v>
      </c>
      <c r="E9" s="60"/>
    </row>
    <row r="10" spans="1:7" ht="20.25" x14ac:dyDescent="0.3">
      <c r="A10" s="58" t="s">
        <v>201</v>
      </c>
      <c r="B10" s="63" t="s">
        <v>202</v>
      </c>
      <c r="C10" s="132" t="s">
        <v>215</v>
      </c>
      <c r="D10" s="65">
        <v>1400</v>
      </c>
      <c r="E10" s="62"/>
    </row>
    <row r="11" spans="1:7" ht="21" x14ac:dyDescent="0.3">
      <c r="A11" s="59" t="s">
        <v>194</v>
      </c>
      <c r="B11" s="69" t="s">
        <v>133</v>
      </c>
      <c r="C11" s="55" t="s">
        <v>195</v>
      </c>
      <c r="D11" s="71" t="str">
        <f>IF(B7&gt;0,IF(B7&lt;26000,"E",IF(B7&lt;39000,"D",IF(B7&lt;49000,"C",IF(B7&lt;95000,"B","A")))),"")</f>
        <v>B</v>
      </c>
      <c r="E11" s="62"/>
    </row>
    <row r="12" spans="1:7" ht="21" x14ac:dyDescent="0.25">
      <c r="A12" s="125" t="s">
        <v>251</v>
      </c>
      <c r="B12" s="85" t="s">
        <v>178</v>
      </c>
      <c r="C12" s="125" t="s">
        <v>250</v>
      </c>
      <c r="D12" s="83" t="s">
        <v>178</v>
      </c>
      <c r="E12" s="84"/>
    </row>
    <row r="13" spans="1:7" ht="18" x14ac:dyDescent="0.25">
      <c r="A13" s="145" t="s">
        <v>198</v>
      </c>
      <c r="B13" s="146"/>
      <c r="C13" s="146"/>
      <c r="D13" s="146"/>
    </row>
  </sheetData>
  <sheetProtection algorithmName="SHA-512" hashValue="xkykTvA0nkBnnj/CZvOu/rtyKPrBsyML9UBJYJujzMEXbtbg5ZuyILMSv8/u8O0TOM3ORclLpvkUGmJy8A6YlA==" saltValue="+RsNXBhXBdaNqOUo+iPLlw==" spinCount="100000" sheet="1" objects="1" scenarios="1"/>
  <mergeCells count="4">
    <mergeCell ref="A1:D1"/>
    <mergeCell ref="B2:D2"/>
    <mergeCell ref="B3:D3"/>
    <mergeCell ref="A13:D13"/>
  </mergeCells>
  <dataValidations count="4">
    <dataValidation type="list" allowBlank="1" showInputMessage="1" showErrorMessage="1" sqref="D7">
      <formula1>"0%,10%,20%"</formula1>
    </dataValidation>
    <dataValidation type="list" allowBlank="1" showInputMessage="1" showErrorMessage="1" sqref="D9:E9">
      <formula1>"4,5,6,7,8,9,10,11,12,1,2,3"</formula1>
    </dataValidation>
    <dataValidation type="list" allowBlank="1" showInputMessage="1" showErrorMessage="1" sqref="D8 B8:B9 B11:B12 D12">
      <formula1>"Yes,No"</formula1>
    </dataValidation>
    <dataValidation type="list" allowBlank="1" showInputMessage="1" showErrorMessage="1" sqref="B10">
      <formula1>"YES,NO"</formula1>
    </dataValidation>
  </dataValidations>
  <hyperlinks>
    <hyperlink ref="A13" r:id="rId1"/>
  </hyperlinks>
  <pageMargins left="0.7" right="0.7" top="0.75" bottom="0.75" header="0.3" footer="0.3"/>
  <pageSetup paperSize="9" scale="87" fitToWidth="0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00FF"/>
  </sheetPr>
  <dimension ref="A1:AG51"/>
  <sheetViews>
    <sheetView showGridLines="0" view="pageBreakPreview" topLeftCell="B15" zoomScale="75" zoomScaleNormal="90" zoomScaleSheetLayoutView="75" workbookViewId="0">
      <selection activeCell="C5" sqref="C5"/>
    </sheetView>
  </sheetViews>
  <sheetFormatPr defaultColWidth="9.140625" defaultRowHeight="12.75" zeroHeight="1" x14ac:dyDescent="0.2"/>
  <cols>
    <col min="1" max="1" width="2.140625" style="3" hidden="1" customWidth="1" collapsed="1"/>
    <col min="2" max="2" width="12.42578125" style="3" customWidth="1" collapsed="1"/>
    <col min="3" max="3" width="8.42578125" style="3" customWidth="1" collapsed="1"/>
    <col min="4" max="6" width="5" style="3" hidden="1" customWidth="1" collapsed="1"/>
    <col min="7" max="7" width="8.85546875" style="3" customWidth="1" collapsed="1"/>
    <col min="8" max="8" width="6.85546875" style="3" customWidth="1" collapsed="1"/>
    <col min="9" max="9" width="5" style="3" customWidth="1" collapsed="1"/>
    <col min="10" max="12" width="6" style="3" customWidth="1" collapsed="1"/>
    <col min="13" max="14" width="6" style="3" customWidth="1"/>
    <col min="15" max="15" width="10.85546875" style="3" customWidth="1" collapsed="1"/>
    <col min="16" max="16" width="8.7109375" style="3" customWidth="1" collapsed="1"/>
    <col min="17" max="17" width="5.85546875" style="3" customWidth="1" collapsed="1"/>
    <col min="18" max="18" width="8" style="3" customWidth="1" collapsed="1"/>
    <col min="19" max="19" width="8.85546875" style="3" customWidth="1" collapsed="1"/>
    <col min="20" max="20" width="4.85546875" style="3" customWidth="1" collapsed="1"/>
    <col min="21" max="21" width="8.28515625" style="3" customWidth="1" collapsed="1"/>
    <col min="22" max="22" width="8" style="3" customWidth="1" collapsed="1"/>
    <col min="23" max="24" width="6" style="3" customWidth="1" collapsed="1"/>
    <col min="25" max="25" width="7.7109375" style="3" customWidth="1" collapsed="1"/>
    <col min="26" max="26" width="6" style="3" customWidth="1"/>
    <col min="27" max="27" width="6" style="3" customWidth="1" collapsed="1"/>
    <col min="28" max="28" width="10.5703125" style="3" customWidth="1" collapsed="1"/>
    <col min="29" max="29" width="11.140625" style="3" customWidth="1" collapsed="1"/>
    <col min="30" max="30" width="15.42578125" style="3" customWidth="1" collapsed="1"/>
    <col min="31" max="31" width="3" style="23" customWidth="1" collapsed="1"/>
    <col min="32" max="33" width="9.140625" style="3" customWidth="1"/>
    <col min="34" max="35" width="9.140625" style="3" customWidth="1" collapsed="1"/>
    <col min="36" max="16384" width="9.140625" style="3" collapsed="1"/>
  </cols>
  <sheetData>
    <row r="1" spans="1:31" ht="36" customHeight="1" x14ac:dyDescent="0.2">
      <c r="A1" s="90"/>
      <c r="B1" s="149" t="str">
        <f>MASTER!B2</f>
        <v>GSSS</v>
      </c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3"/>
    </row>
    <row r="2" spans="1:31" ht="32.1" customHeight="1" x14ac:dyDescent="0.2">
      <c r="A2" s="90"/>
      <c r="B2" s="150" t="s">
        <v>212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3"/>
    </row>
    <row r="3" spans="1:31" s="22" customFormat="1" ht="20.45" customHeight="1" x14ac:dyDescent="0.2">
      <c r="A3" s="91"/>
      <c r="B3" s="102" t="s">
        <v>156</v>
      </c>
      <c r="C3" s="151" t="str">
        <f>MASTER!B4</f>
        <v>Employee Name</v>
      </c>
      <c r="D3" s="151"/>
      <c r="E3" s="151"/>
      <c r="F3" s="151"/>
      <c r="G3" s="151"/>
      <c r="H3" s="151"/>
      <c r="I3" s="151"/>
      <c r="J3" s="147" t="s">
        <v>157</v>
      </c>
      <c r="K3" s="147"/>
      <c r="L3" s="148">
        <f>MASTER!D6</f>
        <v>0</v>
      </c>
      <c r="M3" s="148"/>
      <c r="N3" s="148"/>
      <c r="O3" s="148"/>
      <c r="P3" s="103" t="s">
        <v>27</v>
      </c>
      <c r="Q3" s="148" t="str">
        <f>MASTER!B5</f>
        <v>AAAAAXXXXA</v>
      </c>
      <c r="R3" s="148"/>
      <c r="S3" s="148"/>
      <c r="T3" s="148"/>
      <c r="U3" s="104" t="s">
        <v>132</v>
      </c>
      <c r="V3" s="148" t="str">
        <f>MASTER!B3</f>
        <v>AAAAXXXXXA</v>
      </c>
      <c r="W3" s="148"/>
      <c r="X3" s="148"/>
      <c r="Y3" s="148"/>
      <c r="Z3" s="154" t="s">
        <v>207</v>
      </c>
      <c r="AA3" s="154"/>
      <c r="AB3" s="152" t="str">
        <f>MASTER!D5</f>
        <v>9XXXXXXXXXXXXX9</v>
      </c>
      <c r="AC3" s="152"/>
      <c r="AD3" s="153"/>
    </row>
    <row r="4" spans="1:31" s="16" customFormat="1" ht="108.75" customHeight="1" x14ac:dyDescent="0.2">
      <c r="A4" s="92"/>
      <c r="B4" s="105" t="s">
        <v>14</v>
      </c>
      <c r="C4" s="106" t="s">
        <v>2</v>
      </c>
      <c r="D4" s="107" t="s">
        <v>3</v>
      </c>
      <c r="E4" s="107" t="s">
        <v>87</v>
      </c>
      <c r="F4" s="107" t="s">
        <v>23</v>
      </c>
      <c r="G4" s="106" t="s">
        <v>24</v>
      </c>
      <c r="H4" s="106" t="s">
        <v>135</v>
      </c>
      <c r="I4" s="107" t="s">
        <v>93</v>
      </c>
      <c r="J4" s="107" t="s">
        <v>130</v>
      </c>
      <c r="K4" s="107" t="s">
        <v>68</v>
      </c>
      <c r="L4" s="107" t="s">
        <v>203</v>
      </c>
      <c r="M4" s="107" t="s">
        <v>204</v>
      </c>
      <c r="N4" s="107" t="s">
        <v>208</v>
      </c>
      <c r="O4" s="108" t="s">
        <v>92</v>
      </c>
      <c r="P4" s="106" t="str">
        <f>IF(MASTER!B8="No","GPF","GPF 2004")</f>
        <v>GPF 2004</v>
      </c>
      <c r="Q4" s="106" t="s">
        <v>205</v>
      </c>
      <c r="R4" s="106" t="s">
        <v>15</v>
      </c>
      <c r="S4" s="106" t="s">
        <v>1</v>
      </c>
      <c r="T4" s="106" t="s">
        <v>213</v>
      </c>
      <c r="U4" s="106" t="s">
        <v>6</v>
      </c>
      <c r="V4" s="120" t="s">
        <v>210</v>
      </c>
      <c r="W4" s="106" t="s">
        <v>90</v>
      </c>
      <c r="X4" s="106" t="s">
        <v>89</v>
      </c>
      <c r="Y4" s="106" t="s">
        <v>86</v>
      </c>
      <c r="Z4" s="107" t="s">
        <v>196</v>
      </c>
      <c r="AA4" s="107" t="s">
        <v>199</v>
      </c>
      <c r="AB4" s="106" t="s">
        <v>91</v>
      </c>
      <c r="AC4" s="108" t="s">
        <v>131</v>
      </c>
      <c r="AD4" s="109" t="s">
        <v>211</v>
      </c>
    </row>
    <row r="5" spans="1:31" s="17" customFormat="1" ht="18.95" customHeight="1" x14ac:dyDescent="0.2">
      <c r="A5" s="93">
        <v>3</v>
      </c>
      <c r="B5" s="110">
        <v>45717</v>
      </c>
      <c r="C5" s="94">
        <f>MASTER!B7</f>
        <v>75400</v>
      </c>
      <c r="D5" s="95">
        <v>0</v>
      </c>
      <c r="E5" s="95">
        <v>0</v>
      </c>
      <c r="F5" s="95">
        <v>0</v>
      </c>
      <c r="G5" s="95">
        <f>ROUND(53%*C5,0)</f>
        <v>39962</v>
      </c>
      <c r="H5" s="95">
        <f>ROUND(MASTER!$D$7*C5,0)</f>
        <v>7540</v>
      </c>
      <c r="I5" s="95">
        <v>0</v>
      </c>
      <c r="J5" s="95">
        <v>0</v>
      </c>
      <c r="K5" s="95"/>
      <c r="L5" s="95"/>
      <c r="M5" s="95"/>
      <c r="N5" s="95"/>
      <c r="O5" s="118">
        <f>SUM(C5:N5)</f>
        <v>122902</v>
      </c>
      <c r="P5" s="95">
        <f t="shared" ref="P5:P7" si="0">IF(C5&lt;23100,1450,IF(C5&lt;28500,1625,IF(C5&lt;38500,2100,IF(C5&lt;51500,2850,IF(C5&lt;62000,3575,IF(C5&lt;72000,4200,IF(C5&lt;80000,4800,IF(C5&lt;116000,6150,IF(C5&lt;16700,8900,10500)))))))))</f>
        <v>4800</v>
      </c>
      <c r="Q5" s="95">
        <v>0</v>
      </c>
      <c r="R5" s="96">
        <f>MASTER!B6</f>
        <v>7000</v>
      </c>
      <c r="S5" s="95">
        <v>0</v>
      </c>
      <c r="T5" s="95"/>
      <c r="U5" s="95"/>
      <c r="V5" s="95">
        <v>0</v>
      </c>
      <c r="W5" s="95"/>
      <c r="X5" s="95"/>
      <c r="Y5" s="95"/>
      <c r="Z5" s="95">
        <f>IF(MASTER!$B$10="Yes",IF(C5&lt;18000,265,IF(C5&lt;33500,440,IF(C5&lt;54000,658,875))),0)</f>
        <v>875</v>
      </c>
      <c r="AA5" s="97"/>
      <c r="AB5" s="98">
        <f t="shared" ref="AB5:AB25" si="1">SUM(P5:AA5)</f>
        <v>12675</v>
      </c>
      <c r="AC5" s="99">
        <f t="shared" ref="AC5:AC25" si="2">O5-AB5</f>
        <v>110227</v>
      </c>
      <c r="AD5" s="100"/>
    </row>
    <row r="6" spans="1:31" s="17" customFormat="1" ht="18.95" customHeight="1" x14ac:dyDescent="0.2">
      <c r="A6" s="93">
        <v>4</v>
      </c>
      <c r="B6" s="110">
        <v>45748</v>
      </c>
      <c r="C6" s="95">
        <f t="shared" ref="C6:C8" si="3">C5</f>
        <v>75400</v>
      </c>
      <c r="D6" s="95">
        <f>IF(D$5=0,0,ROUND(C6/2,0))</f>
        <v>0</v>
      </c>
      <c r="E6" s="95">
        <f t="shared" ref="E6:F11" si="4">IF(E$5=0,0,E5)</f>
        <v>0</v>
      </c>
      <c r="F6" s="95">
        <f t="shared" si="4"/>
        <v>0</v>
      </c>
      <c r="G6" s="95">
        <f t="shared" ref="G6:G16" si="5">ROUND(55%*C6,0)</f>
        <v>41470</v>
      </c>
      <c r="H6" s="95">
        <f>ROUND(MASTER!$D$7*C6,0)</f>
        <v>7540</v>
      </c>
      <c r="I6" s="95">
        <f t="shared" ref="I6:I16" si="6">IF(I$5=0,0,I5)</f>
        <v>0</v>
      </c>
      <c r="J6" s="95">
        <f t="shared" ref="J6:J16" si="7">IF(J$5=0,0,J5)</f>
        <v>0</v>
      </c>
      <c r="K6" s="95"/>
      <c r="L6" s="95">
        <f t="shared" ref="L6:M16" si="8">L5</f>
        <v>0</v>
      </c>
      <c r="M6" s="95">
        <f t="shared" si="8"/>
        <v>0</v>
      </c>
      <c r="N6" s="95">
        <f>N5</f>
        <v>0</v>
      </c>
      <c r="O6" s="118">
        <f t="shared" ref="O6:O26" si="9">SUM(C6:N6)</f>
        <v>124410</v>
      </c>
      <c r="P6" s="95">
        <f t="shared" si="0"/>
        <v>4800</v>
      </c>
      <c r="Q6" s="95">
        <f>Q5</f>
        <v>0</v>
      </c>
      <c r="R6" s="95">
        <f>R5</f>
        <v>7000</v>
      </c>
      <c r="S6" s="95">
        <f>S5</f>
        <v>0</v>
      </c>
      <c r="T6" s="95"/>
      <c r="U6" s="95">
        <f>U5</f>
        <v>0</v>
      </c>
      <c r="V6" s="101">
        <f>MASTER!D10</f>
        <v>1400</v>
      </c>
      <c r="W6" s="95">
        <f t="shared" ref="W6:AA16" si="10">W5</f>
        <v>0</v>
      </c>
      <c r="X6" s="95">
        <f t="shared" si="10"/>
        <v>0</v>
      </c>
      <c r="Y6" s="95">
        <f>Y5</f>
        <v>0</v>
      </c>
      <c r="Z6" s="95">
        <f>IF(MASTER!$B$10="Yes",IF(C6&lt;18000,265,IF(C6&lt;33500,440,IF(C6&lt;54000,658,875))),0)</f>
        <v>875</v>
      </c>
      <c r="AA6" s="95">
        <f t="shared" si="10"/>
        <v>0</v>
      </c>
      <c r="AB6" s="98">
        <f t="shared" si="1"/>
        <v>14075</v>
      </c>
      <c r="AC6" s="99">
        <f t="shared" si="2"/>
        <v>110335</v>
      </c>
      <c r="AD6" s="100"/>
    </row>
    <row r="7" spans="1:31" s="17" customFormat="1" ht="18.95" customHeight="1" x14ac:dyDescent="0.2">
      <c r="A7" s="93">
        <v>5</v>
      </c>
      <c r="B7" s="110">
        <v>45778</v>
      </c>
      <c r="C7" s="95">
        <f t="shared" si="3"/>
        <v>75400</v>
      </c>
      <c r="D7" s="95">
        <f t="shared" ref="D7:D16" si="11">IF($D$5=0,0,ROUND(C7/2,0))</f>
        <v>0</v>
      </c>
      <c r="E7" s="95">
        <f t="shared" si="4"/>
        <v>0</v>
      </c>
      <c r="F7" s="95">
        <f t="shared" si="4"/>
        <v>0</v>
      </c>
      <c r="G7" s="95">
        <f t="shared" si="5"/>
        <v>41470</v>
      </c>
      <c r="H7" s="95">
        <f>ROUND(MASTER!$D$7*C7,0)</f>
        <v>7540</v>
      </c>
      <c r="I7" s="95">
        <f t="shared" si="6"/>
        <v>0</v>
      </c>
      <c r="J7" s="95">
        <f t="shared" ref="J7" si="12">IF(J$5=0,0,J6)</f>
        <v>0</v>
      </c>
      <c r="K7" s="95"/>
      <c r="L7" s="95">
        <f t="shared" si="8"/>
        <v>0</v>
      </c>
      <c r="M7" s="95">
        <f t="shared" si="8"/>
        <v>0</v>
      </c>
      <c r="N7" s="95">
        <f t="shared" ref="N7:N16" si="13">N6</f>
        <v>0</v>
      </c>
      <c r="O7" s="118">
        <f t="shared" si="9"/>
        <v>124410</v>
      </c>
      <c r="P7" s="95">
        <f t="shared" si="0"/>
        <v>4800</v>
      </c>
      <c r="Q7" s="95">
        <f t="shared" ref="Q7:Q16" si="14">Q6</f>
        <v>0</v>
      </c>
      <c r="R7" s="95">
        <f t="shared" ref="R7:R16" si="15">R6</f>
        <v>7000</v>
      </c>
      <c r="S7" s="95">
        <f t="shared" ref="S7:S16" si="16">S6</f>
        <v>0</v>
      </c>
      <c r="T7" s="95"/>
      <c r="U7" s="95">
        <f t="shared" ref="U7:U16" si="17">U6</f>
        <v>0</v>
      </c>
      <c r="V7" s="95">
        <v>0</v>
      </c>
      <c r="W7" s="95">
        <f t="shared" si="10"/>
        <v>0</v>
      </c>
      <c r="X7" s="95">
        <f t="shared" si="10"/>
        <v>0</v>
      </c>
      <c r="Y7" s="95">
        <f t="shared" si="10"/>
        <v>0</v>
      </c>
      <c r="Z7" s="95">
        <f>IF(MASTER!$B$10="Yes",IF(C7&lt;18000,265,IF(C7&lt;33500,440,IF(C7&lt;54000,658,875))),0)</f>
        <v>875</v>
      </c>
      <c r="AA7" s="95">
        <f t="shared" ref="AA7" si="18">AA6</f>
        <v>0</v>
      </c>
      <c r="AB7" s="98">
        <f t="shared" si="1"/>
        <v>12675</v>
      </c>
      <c r="AC7" s="99">
        <f t="shared" si="2"/>
        <v>111735</v>
      </c>
      <c r="AD7" s="100"/>
    </row>
    <row r="8" spans="1:31" s="17" customFormat="1" ht="18.95" customHeight="1" x14ac:dyDescent="0.2">
      <c r="A8" s="93">
        <v>6</v>
      </c>
      <c r="B8" s="110">
        <v>45809</v>
      </c>
      <c r="C8" s="95">
        <f t="shared" si="3"/>
        <v>75400</v>
      </c>
      <c r="D8" s="95">
        <f t="shared" si="11"/>
        <v>0</v>
      </c>
      <c r="E8" s="95">
        <f t="shared" si="4"/>
        <v>0</v>
      </c>
      <c r="F8" s="95">
        <f t="shared" si="4"/>
        <v>0</v>
      </c>
      <c r="G8" s="95">
        <f t="shared" si="5"/>
        <v>41470</v>
      </c>
      <c r="H8" s="95">
        <f>ROUND(MASTER!$D$7*C8,0)</f>
        <v>7540</v>
      </c>
      <c r="I8" s="95">
        <f t="shared" si="6"/>
        <v>0</v>
      </c>
      <c r="J8" s="95">
        <f t="shared" si="7"/>
        <v>0</v>
      </c>
      <c r="K8" s="95"/>
      <c r="L8" s="95">
        <f t="shared" si="8"/>
        <v>0</v>
      </c>
      <c r="M8" s="95">
        <f t="shared" si="8"/>
        <v>0</v>
      </c>
      <c r="N8" s="95">
        <f t="shared" si="13"/>
        <v>0</v>
      </c>
      <c r="O8" s="118">
        <f t="shared" si="9"/>
        <v>124410</v>
      </c>
      <c r="P8" s="95">
        <f>IF(C8&lt;23100,1450,IF(C8&lt;28500,1625,IF(C8&lt;38500,2100,IF(C8&lt;51500,2850,IF(C8&lt;62000,3575,IF(C8&lt;72000,4200,IF(C8&lt;80000,4800,IF(C8&lt;116000,6150,IF(C8&lt;16700,8900,10500)))))))))</f>
        <v>4800</v>
      </c>
      <c r="Q8" s="95">
        <f t="shared" si="14"/>
        <v>0</v>
      </c>
      <c r="R8" s="95">
        <f t="shared" si="15"/>
        <v>7000</v>
      </c>
      <c r="S8" s="95">
        <f t="shared" si="16"/>
        <v>0</v>
      </c>
      <c r="T8" s="95"/>
      <c r="U8" s="95">
        <f t="shared" si="17"/>
        <v>0</v>
      </c>
      <c r="V8" s="95">
        <v>0</v>
      </c>
      <c r="W8" s="95">
        <f t="shared" si="10"/>
        <v>0</v>
      </c>
      <c r="X8" s="95">
        <f t="shared" si="10"/>
        <v>0</v>
      </c>
      <c r="Y8" s="95">
        <f t="shared" si="10"/>
        <v>0</v>
      </c>
      <c r="Z8" s="95">
        <f>IF(MASTER!$B$10="Yes",IF(C8&lt;18000,265,IF(C8&lt;33500,440,IF(C8&lt;54000,658,875))),0)</f>
        <v>875</v>
      </c>
      <c r="AA8" s="95">
        <f t="shared" ref="AA8" si="19">AA7</f>
        <v>0</v>
      </c>
      <c r="AB8" s="98">
        <f t="shared" si="1"/>
        <v>12675</v>
      </c>
      <c r="AC8" s="99">
        <f t="shared" si="2"/>
        <v>111735</v>
      </c>
      <c r="AD8" s="100"/>
    </row>
    <row r="9" spans="1:31" s="17" customFormat="1" ht="18.95" customHeight="1" x14ac:dyDescent="0.2">
      <c r="A9" s="93">
        <v>7</v>
      </c>
      <c r="B9" s="110">
        <v>45839</v>
      </c>
      <c r="C9" s="95">
        <f>MROUND(ROUND(1.03*C8,0),100)</f>
        <v>77700</v>
      </c>
      <c r="D9" s="95">
        <f t="shared" si="11"/>
        <v>0</v>
      </c>
      <c r="E9" s="95">
        <f>IF(E$5=0,0,E8)</f>
        <v>0</v>
      </c>
      <c r="F9" s="95">
        <f>IF(F$5=0,0,F8)</f>
        <v>0</v>
      </c>
      <c r="G9" s="95">
        <f t="shared" si="5"/>
        <v>42735</v>
      </c>
      <c r="H9" s="95">
        <f>ROUND(MASTER!$D$7*C9,0)</f>
        <v>7770</v>
      </c>
      <c r="I9" s="95">
        <f>IF(I$5=0,0,I8)</f>
        <v>0</v>
      </c>
      <c r="J9" s="95">
        <f t="shared" ref="J9" si="20">IF(J$5=0,0,J8)</f>
        <v>0</v>
      </c>
      <c r="K9" s="95"/>
      <c r="L9" s="95">
        <f t="shared" si="8"/>
        <v>0</v>
      </c>
      <c r="M9" s="95">
        <f t="shared" si="8"/>
        <v>0</v>
      </c>
      <c r="N9" s="95">
        <f t="shared" si="13"/>
        <v>0</v>
      </c>
      <c r="O9" s="118">
        <f t="shared" si="9"/>
        <v>128205</v>
      </c>
      <c r="P9" s="95">
        <f t="shared" ref="P9:P16" si="21">IF(C9&lt;23100,1450,IF(C9&lt;28500,1625,IF(C9&lt;38500,2100,IF(C9&lt;51500,2850,IF(C9&lt;62000,3575,IF(C9&lt;72000,4200,IF(C9&lt;80000,4800,IF(C9&lt;116000,6150,IF(C9&lt;16700,8900,10500)))))))))</f>
        <v>4800</v>
      </c>
      <c r="Q9" s="95">
        <f>Q8</f>
        <v>0</v>
      </c>
      <c r="R9" s="95">
        <f>R8</f>
        <v>7000</v>
      </c>
      <c r="S9" s="95">
        <f>S8</f>
        <v>0</v>
      </c>
      <c r="T9" s="95"/>
      <c r="U9" s="95">
        <f>U8</f>
        <v>0</v>
      </c>
      <c r="V9" s="95">
        <v>0</v>
      </c>
      <c r="W9" s="95">
        <f>W8</f>
        <v>0</v>
      </c>
      <c r="X9" s="95">
        <f>X8</f>
        <v>0</v>
      </c>
      <c r="Y9" s="95">
        <f t="shared" ref="Y9:Y16" si="22">Y8</f>
        <v>0</v>
      </c>
      <c r="Z9" s="95">
        <f>IF(MASTER!$B$10="Yes",IF(C9&lt;18000,265,IF(C9&lt;33500,440,IF(C9&lt;54000,658,875))),0)</f>
        <v>875</v>
      </c>
      <c r="AA9" s="95">
        <f t="shared" ref="AA9:AA13" si="23">AA8</f>
        <v>0</v>
      </c>
      <c r="AB9" s="98">
        <f t="shared" si="1"/>
        <v>12675</v>
      </c>
      <c r="AC9" s="99">
        <f t="shared" si="2"/>
        <v>115530</v>
      </c>
      <c r="AD9" s="100"/>
    </row>
    <row r="10" spans="1:31" s="17" customFormat="1" ht="18.95" customHeight="1" x14ac:dyDescent="0.2">
      <c r="A10" s="93">
        <v>8</v>
      </c>
      <c r="B10" s="110">
        <v>45870</v>
      </c>
      <c r="C10" s="95">
        <f t="shared" ref="C10:C16" si="24">C9</f>
        <v>77700</v>
      </c>
      <c r="D10" s="95">
        <f t="shared" si="11"/>
        <v>0</v>
      </c>
      <c r="E10" s="95">
        <f t="shared" si="4"/>
        <v>0</v>
      </c>
      <c r="F10" s="95">
        <f t="shared" si="4"/>
        <v>0</v>
      </c>
      <c r="G10" s="95">
        <f t="shared" si="5"/>
        <v>42735</v>
      </c>
      <c r="H10" s="95">
        <f>ROUND(MASTER!$D$7*C10,0)</f>
        <v>7770</v>
      </c>
      <c r="I10" s="95">
        <f t="shared" si="6"/>
        <v>0</v>
      </c>
      <c r="J10" s="95">
        <f t="shared" si="7"/>
        <v>0</v>
      </c>
      <c r="K10" s="95"/>
      <c r="L10" s="95">
        <f t="shared" si="8"/>
        <v>0</v>
      </c>
      <c r="M10" s="95">
        <f t="shared" si="8"/>
        <v>0</v>
      </c>
      <c r="N10" s="95">
        <f t="shared" si="13"/>
        <v>0</v>
      </c>
      <c r="O10" s="118">
        <f t="shared" si="9"/>
        <v>128205</v>
      </c>
      <c r="P10" s="95">
        <f t="shared" si="21"/>
        <v>4800</v>
      </c>
      <c r="Q10" s="95">
        <f t="shared" si="14"/>
        <v>0</v>
      </c>
      <c r="R10" s="95">
        <f t="shared" si="15"/>
        <v>7000</v>
      </c>
      <c r="S10" s="95">
        <f t="shared" si="16"/>
        <v>0</v>
      </c>
      <c r="T10" s="95"/>
      <c r="U10" s="95">
        <f t="shared" si="17"/>
        <v>0</v>
      </c>
      <c r="V10" s="95">
        <v>0</v>
      </c>
      <c r="W10" s="95">
        <f t="shared" si="10"/>
        <v>0</v>
      </c>
      <c r="X10" s="95">
        <f t="shared" si="10"/>
        <v>0</v>
      </c>
      <c r="Y10" s="95">
        <f t="shared" si="22"/>
        <v>0</v>
      </c>
      <c r="Z10" s="95">
        <f>IF(MASTER!$B$10="Yes",IF(C10&lt;18000,265,IF(C10&lt;33500,440,IF(C10&lt;54000,658,875))),0)</f>
        <v>875</v>
      </c>
      <c r="AA10" s="95">
        <f t="shared" si="23"/>
        <v>0</v>
      </c>
      <c r="AB10" s="98">
        <f t="shared" si="1"/>
        <v>12675</v>
      </c>
      <c r="AC10" s="99">
        <f t="shared" si="2"/>
        <v>115530</v>
      </c>
      <c r="AD10" s="100"/>
    </row>
    <row r="11" spans="1:31" s="17" customFormat="1" ht="18.95" customHeight="1" x14ac:dyDescent="0.2">
      <c r="A11" s="93">
        <v>9</v>
      </c>
      <c r="B11" s="110">
        <v>45901</v>
      </c>
      <c r="C11" s="95">
        <f t="shared" si="24"/>
        <v>77700</v>
      </c>
      <c r="D11" s="95">
        <f t="shared" si="11"/>
        <v>0</v>
      </c>
      <c r="E11" s="95">
        <f t="shared" si="4"/>
        <v>0</v>
      </c>
      <c r="F11" s="95">
        <f t="shared" si="4"/>
        <v>0</v>
      </c>
      <c r="G11" s="95">
        <f t="shared" si="5"/>
        <v>42735</v>
      </c>
      <c r="H11" s="95">
        <f>ROUND(MASTER!$D$7*C11,0)</f>
        <v>7770</v>
      </c>
      <c r="I11" s="95">
        <f t="shared" si="6"/>
        <v>0</v>
      </c>
      <c r="J11" s="95">
        <f t="shared" si="7"/>
        <v>0</v>
      </c>
      <c r="K11" s="95"/>
      <c r="L11" s="95">
        <f t="shared" si="8"/>
        <v>0</v>
      </c>
      <c r="M11" s="95">
        <f t="shared" si="8"/>
        <v>0</v>
      </c>
      <c r="N11" s="95">
        <f t="shared" si="13"/>
        <v>0</v>
      </c>
      <c r="O11" s="118">
        <f t="shared" si="9"/>
        <v>128205</v>
      </c>
      <c r="P11" s="95">
        <f t="shared" si="21"/>
        <v>4800</v>
      </c>
      <c r="Q11" s="95">
        <f t="shared" si="14"/>
        <v>0</v>
      </c>
      <c r="R11" s="95">
        <f t="shared" si="15"/>
        <v>7000</v>
      </c>
      <c r="S11" s="95">
        <f t="shared" si="16"/>
        <v>0</v>
      </c>
      <c r="T11" s="95"/>
      <c r="U11" s="95">
        <f t="shared" si="17"/>
        <v>0</v>
      </c>
      <c r="V11" s="95"/>
      <c r="W11" s="95">
        <f t="shared" si="10"/>
        <v>0</v>
      </c>
      <c r="X11" s="95">
        <f t="shared" si="10"/>
        <v>0</v>
      </c>
      <c r="Y11" s="95">
        <f t="shared" si="22"/>
        <v>0</v>
      </c>
      <c r="Z11" s="95">
        <f>IF(MASTER!$B$10="Yes",IF(C11&lt;18000,265,IF(C11&lt;33500,440,IF(C11&lt;54000,658,875))),0)</f>
        <v>875</v>
      </c>
      <c r="AA11" s="95">
        <f t="shared" si="23"/>
        <v>0</v>
      </c>
      <c r="AB11" s="98">
        <f t="shared" si="1"/>
        <v>12675</v>
      </c>
      <c r="AC11" s="99">
        <f t="shared" si="2"/>
        <v>115530</v>
      </c>
      <c r="AD11" s="100"/>
    </row>
    <row r="12" spans="1:31" s="17" customFormat="1" ht="18.95" customHeight="1" x14ac:dyDescent="0.2">
      <c r="A12" s="93">
        <v>10</v>
      </c>
      <c r="B12" s="110">
        <v>45931</v>
      </c>
      <c r="C12" s="95">
        <f t="shared" si="24"/>
        <v>77700</v>
      </c>
      <c r="D12" s="95">
        <f t="shared" si="11"/>
        <v>0</v>
      </c>
      <c r="E12" s="95">
        <f>IF(E$5=0,0,E11)</f>
        <v>0</v>
      </c>
      <c r="F12" s="95">
        <f t="shared" ref="F12:F16" si="25">IF(F$5=0,0,F11)</f>
        <v>0</v>
      </c>
      <c r="G12" s="95">
        <f>ROUND(58%*C12,0)</f>
        <v>45066</v>
      </c>
      <c r="H12" s="95">
        <f>ROUND(MASTER!$D$7*C12,0)</f>
        <v>7770</v>
      </c>
      <c r="I12" s="95">
        <f t="shared" si="6"/>
        <v>0</v>
      </c>
      <c r="J12" s="95">
        <f t="shared" si="7"/>
        <v>0</v>
      </c>
      <c r="K12" s="95"/>
      <c r="L12" s="95">
        <f t="shared" si="8"/>
        <v>0</v>
      </c>
      <c r="M12" s="95">
        <f t="shared" si="8"/>
        <v>0</v>
      </c>
      <c r="N12" s="95">
        <f t="shared" si="13"/>
        <v>0</v>
      </c>
      <c r="O12" s="118">
        <f t="shared" si="9"/>
        <v>130536</v>
      </c>
      <c r="P12" s="95">
        <f t="shared" si="21"/>
        <v>4800</v>
      </c>
      <c r="Q12" s="95">
        <f t="shared" si="14"/>
        <v>0</v>
      </c>
      <c r="R12" s="95">
        <f t="shared" si="15"/>
        <v>7000</v>
      </c>
      <c r="S12" s="95">
        <f t="shared" si="16"/>
        <v>0</v>
      </c>
      <c r="T12" s="95"/>
      <c r="U12" s="95">
        <f t="shared" si="17"/>
        <v>0</v>
      </c>
      <c r="V12" s="95">
        <v>0</v>
      </c>
      <c r="W12" s="95">
        <f t="shared" si="10"/>
        <v>0</v>
      </c>
      <c r="X12" s="95">
        <f t="shared" si="10"/>
        <v>0</v>
      </c>
      <c r="Y12" s="95">
        <f t="shared" si="22"/>
        <v>0</v>
      </c>
      <c r="Z12" s="95">
        <f>IF(MASTER!$B$10="Yes",IF(C12&lt;18000,265,IF(C12&lt;33500,440,IF(C12&lt;54000,658,875))),0)</f>
        <v>875</v>
      </c>
      <c r="AA12" s="95">
        <f t="shared" si="23"/>
        <v>0</v>
      </c>
      <c r="AB12" s="98">
        <f t="shared" si="1"/>
        <v>12675</v>
      </c>
      <c r="AC12" s="99">
        <f t="shared" si="2"/>
        <v>117861</v>
      </c>
      <c r="AD12" s="100"/>
    </row>
    <row r="13" spans="1:31" s="17" customFormat="1" ht="18.95" customHeight="1" x14ac:dyDescent="0.2">
      <c r="A13" s="93">
        <v>11</v>
      </c>
      <c r="B13" s="110">
        <v>45962</v>
      </c>
      <c r="C13" s="95">
        <f t="shared" si="24"/>
        <v>77700</v>
      </c>
      <c r="D13" s="95">
        <f t="shared" si="11"/>
        <v>0</v>
      </c>
      <c r="E13" s="95">
        <f>IF(E$5=0,0,E12)</f>
        <v>0</v>
      </c>
      <c r="F13" s="95">
        <f t="shared" si="25"/>
        <v>0</v>
      </c>
      <c r="G13" s="95">
        <f t="shared" ref="G13:G16" si="26">ROUND(58%*C13,0)</f>
        <v>45066</v>
      </c>
      <c r="H13" s="95">
        <f>ROUND(MASTER!$D$7*C13,0)</f>
        <v>7770</v>
      </c>
      <c r="I13" s="95">
        <f t="shared" si="6"/>
        <v>0</v>
      </c>
      <c r="J13" s="95">
        <f t="shared" si="7"/>
        <v>0</v>
      </c>
      <c r="K13" s="95"/>
      <c r="L13" s="95">
        <f t="shared" si="8"/>
        <v>0</v>
      </c>
      <c r="M13" s="95">
        <f t="shared" si="8"/>
        <v>0</v>
      </c>
      <c r="N13" s="95">
        <f t="shared" si="13"/>
        <v>0</v>
      </c>
      <c r="O13" s="118">
        <f t="shared" si="9"/>
        <v>130536</v>
      </c>
      <c r="P13" s="95">
        <f t="shared" si="21"/>
        <v>4800</v>
      </c>
      <c r="Q13" s="95">
        <f t="shared" si="14"/>
        <v>0</v>
      </c>
      <c r="R13" s="95">
        <f t="shared" si="15"/>
        <v>7000</v>
      </c>
      <c r="S13" s="95">
        <f t="shared" si="16"/>
        <v>0</v>
      </c>
      <c r="T13" s="95"/>
      <c r="U13" s="95">
        <f t="shared" si="17"/>
        <v>0</v>
      </c>
      <c r="V13" s="95">
        <v>0</v>
      </c>
      <c r="W13" s="95">
        <f t="shared" si="10"/>
        <v>0</v>
      </c>
      <c r="X13" s="95">
        <f t="shared" si="10"/>
        <v>0</v>
      </c>
      <c r="Y13" s="95">
        <f t="shared" si="22"/>
        <v>0</v>
      </c>
      <c r="Z13" s="95">
        <f>IF(MASTER!$B$10="Yes",IF(C13&lt;18000,265,IF(C13&lt;33500,440,IF(C13&lt;54000,658,875))),0)</f>
        <v>875</v>
      </c>
      <c r="AA13" s="95">
        <f t="shared" si="23"/>
        <v>0</v>
      </c>
      <c r="AB13" s="98">
        <f t="shared" si="1"/>
        <v>12675</v>
      </c>
      <c r="AC13" s="99">
        <f t="shared" si="2"/>
        <v>117861</v>
      </c>
      <c r="AD13" s="100"/>
    </row>
    <row r="14" spans="1:31" s="17" customFormat="1" ht="18.95" customHeight="1" x14ac:dyDescent="0.2">
      <c r="A14" s="93">
        <v>12</v>
      </c>
      <c r="B14" s="110">
        <v>45992</v>
      </c>
      <c r="C14" s="95">
        <f t="shared" si="24"/>
        <v>77700</v>
      </c>
      <c r="D14" s="95">
        <f t="shared" si="11"/>
        <v>0</v>
      </c>
      <c r="E14" s="95">
        <f>IF(E$5=0,0,E13)</f>
        <v>0</v>
      </c>
      <c r="F14" s="95">
        <f t="shared" si="25"/>
        <v>0</v>
      </c>
      <c r="G14" s="95">
        <f t="shared" si="26"/>
        <v>45066</v>
      </c>
      <c r="H14" s="95">
        <f>ROUND(MASTER!$D$7*C14,0)</f>
        <v>7770</v>
      </c>
      <c r="I14" s="95">
        <f t="shared" si="6"/>
        <v>0</v>
      </c>
      <c r="J14" s="95">
        <f t="shared" si="7"/>
        <v>0</v>
      </c>
      <c r="K14" s="95"/>
      <c r="L14" s="95">
        <f t="shared" si="8"/>
        <v>0</v>
      </c>
      <c r="M14" s="95">
        <f t="shared" si="8"/>
        <v>0</v>
      </c>
      <c r="N14" s="95">
        <f t="shared" si="13"/>
        <v>0</v>
      </c>
      <c r="O14" s="118">
        <f t="shared" si="9"/>
        <v>130536</v>
      </c>
      <c r="P14" s="95">
        <f t="shared" si="21"/>
        <v>4800</v>
      </c>
      <c r="Q14" s="95">
        <f t="shared" si="14"/>
        <v>0</v>
      </c>
      <c r="R14" s="95">
        <f t="shared" si="15"/>
        <v>7000</v>
      </c>
      <c r="S14" s="95">
        <f t="shared" si="16"/>
        <v>0</v>
      </c>
      <c r="T14" s="95"/>
      <c r="U14" s="95">
        <f t="shared" si="17"/>
        <v>0</v>
      </c>
      <c r="V14" s="95">
        <v>0</v>
      </c>
      <c r="W14" s="95">
        <f t="shared" si="10"/>
        <v>0</v>
      </c>
      <c r="X14" s="95">
        <f t="shared" si="10"/>
        <v>0</v>
      </c>
      <c r="Y14" s="95">
        <f t="shared" si="22"/>
        <v>0</v>
      </c>
      <c r="Z14" s="95">
        <f>IF(MASTER!$B$10="Yes",IF(C14&lt;18000,265,IF(C14&lt;33500,440,IF(C14&lt;54000,658,875))),0)</f>
        <v>875</v>
      </c>
      <c r="AA14" s="95">
        <v>250</v>
      </c>
      <c r="AB14" s="98">
        <f t="shared" si="1"/>
        <v>12925</v>
      </c>
      <c r="AC14" s="99">
        <f t="shared" si="2"/>
        <v>117611</v>
      </c>
      <c r="AD14" s="100"/>
    </row>
    <row r="15" spans="1:31" s="17" customFormat="1" ht="18.95" customHeight="1" x14ac:dyDescent="0.2">
      <c r="A15" s="93">
        <v>1</v>
      </c>
      <c r="B15" s="110">
        <v>46023</v>
      </c>
      <c r="C15" s="95">
        <f t="shared" si="24"/>
        <v>77700</v>
      </c>
      <c r="D15" s="95">
        <f t="shared" si="11"/>
        <v>0</v>
      </c>
      <c r="E15" s="95">
        <f>IF(E$5=0,0,E14)</f>
        <v>0</v>
      </c>
      <c r="F15" s="95">
        <f t="shared" si="25"/>
        <v>0</v>
      </c>
      <c r="G15" s="95">
        <f t="shared" si="26"/>
        <v>45066</v>
      </c>
      <c r="H15" s="95">
        <f>ROUND(MASTER!$D$7*C15,0)</f>
        <v>7770</v>
      </c>
      <c r="I15" s="95">
        <f t="shared" si="6"/>
        <v>0</v>
      </c>
      <c r="J15" s="95">
        <f t="shared" si="7"/>
        <v>0</v>
      </c>
      <c r="K15" s="95"/>
      <c r="L15" s="95">
        <f t="shared" si="8"/>
        <v>0</v>
      </c>
      <c r="M15" s="95">
        <f t="shared" si="8"/>
        <v>0</v>
      </c>
      <c r="N15" s="95">
        <f t="shared" si="13"/>
        <v>0</v>
      </c>
      <c r="O15" s="118">
        <f t="shared" si="9"/>
        <v>130536</v>
      </c>
      <c r="P15" s="95">
        <f t="shared" si="21"/>
        <v>4800</v>
      </c>
      <c r="Q15" s="95">
        <f t="shared" si="14"/>
        <v>0</v>
      </c>
      <c r="R15" s="95">
        <f t="shared" si="15"/>
        <v>7000</v>
      </c>
      <c r="S15" s="95">
        <f t="shared" si="16"/>
        <v>0</v>
      </c>
      <c r="T15" s="95"/>
      <c r="U15" s="95">
        <f t="shared" si="17"/>
        <v>0</v>
      </c>
      <c r="V15" s="95">
        <v>0</v>
      </c>
      <c r="W15" s="95">
        <f t="shared" si="10"/>
        <v>0</v>
      </c>
      <c r="X15" s="95">
        <f t="shared" si="10"/>
        <v>0</v>
      </c>
      <c r="Y15" s="95">
        <f t="shared" si="22"/>
        <v>0</v>
      </c>
      <c r="Z15" s="95">
        <f>IF(MASTER!$B$10="Yes",IF(MASTER!$B$8="Yes",IF(C15&lt;18000,265,IF(C15&lt;33500,440,IF(C15&lt;54000,658,875))),'GA-55'!T14),0)</f>
        <v>875</v>
      </c>
      <c r="AA15" s="95"/>
      <c r="AB15" s="98">
        <f t="shared" si="1"/>
        <v>12675</v>
      </c>
      <c r="AC15" s="99">
        <f t="shared" si="2"/>
        <v>117861</v>
      </c>
      <c r="AD15" s="100"/>
    </row>
    <row r="16" spans="1:31" s="17" customFormat="1" ht="18.95" customHeight="1" x14ac:dyDescent="0.2">
      <c r="A16" s="93">
        <v>2</v>
      </c>
      <c r="B16" s="110">
        <v>46054</v>
      </c>
      <c r="C16" s="95">
        <f t="shared" si="24"/>
        <v>77700</v>
      </c>
      <c r="D16" s="95">
        <f t="shared" si="11"/>
        <v>0</v>
      </c>
      <c r="E16" s="95">
        <f>IF(E$5=0,0,E15)</f>
        <v>0</v>
      </c>
      <c r="F16" s="95">
        <f t="shared" si="25"/>
        <v>0</v>
      </c>
      <c r="G16" s="95">
        <f t="shared" si="26"/>
        <v>45066</v>
      </c>
      <c r="H16" s="95">
        <f>ROUND(MASTER!$D$7*C16,0)</f>
        <v>7770</v>
      </c>
      <c r="I16" s="95">
        <f t="shared" si="6"/>
        <v>0</v>
      </c>
      <c r="J16" s="95">
        <f t="shared" si="7"/>
        <v>0</v>
      </c>
      <c r="K16" s="95"/>
      <c r="L16" s="95">
        <f t="shared" si="8"/>
        <v>0</v>
      </c>
      <c r="M16" s="95">
        <f t="shared" si="8"/>
        <v>0</v>
      </c>
      <c r="N16" s="95">
        <f t="shared" si="13"/>
        <v>0</v>
      </c>
      <c r="O16" s="118">
        <f t="shared" si="9"/>
        <v>130536</v>
      </c>
      <c r="P16" s="95">
        <f t="shared" si="21"/>
        <v>4800</v>
      </c>
      <c r="Q16" s="95">
        <f t="shared" si="14"/>
        <v>0</v>
      </c>
      <c r="R16" s="95">
        <f t="shared" si="15"/>
        <v>7000</v>
      </c>
      <c r="S16" s="95">
        <f t="shared" si="16"/>
        <v>0</v>
      </c>
      <c r="T16" s="95"/>
      <c r="U16" s="95">
        <f t="shared" si="17"/>
        <v>0</v>
      </c>
      <c r="V16" s="95">
        <v>0</v>
      </c>
      <c r="W16" s="95">
        <f t="shared" si="10"/>
        <v>0</v>
      </c>
      <c r="X16" s="95">
        <f t="shared" si="10"/>
        <v>0</v>
      </c>
      <c r="Y16" s="95">
        <f t="shared" si="22"/>
        <v>0</v>
      </c>
      <c r="Z16" s="95">
        <f>IF(MASTER!$B$10="Yes",IF(MASTER!$B$8="Yes",IF(C16&lt;18000,265,IF(C16&lt;33500,440,IF(C16&lt;54000,658,875))),'GA-55'!T15),0)</f>
        <v>875</v>
      </c>
      <c r="AA16" s="95"/>
      <c r="AB16" s="98">
        <f t="shared" si="1"/>
        <v>12675</v>
      </c>
      <c r="AC16" s="99">
        <f t="shared" si="2"/>
        <v>117861</v>
      </c>
      <c r="AD16" s="100"/>
    </row>
    <row r="17" spans="1:30" s="17" customFormat="1" ht="30.75" customHeight="1" x14ac:dyDescent="0.2">
      <c r="A17" s="93"/>
      <c r="B17" s="126" t="s">
        <v>249</v>
      </c>
      <c r="C17" s="95"/>
      <c r="D17" s="95"/>
      <c r="E17" s="95"/>
      <c r="F17" s="95"/>
      <c r="G17" s="95">
        <f>IF(MASTER!B12="Yes",(G13-G9)+(G13-G10)+(G13-G11)+(G13-G12),0)</f>
        <v>6993</v>
      </c>
      <c r="H17" s="95"/>
      <c r="I17" s="95"/>
      <c r="J17" s="95"/>
      <c r="K17" s="95"/>
      <c r="L17" s="95"/>
      <c r="M17" s="95"/>
      <c r="N17" s="95"/>
      <c r="O17" s="118">
        <f t="shared" si="9"/>
        <v>6993</v>
      </c>
      <c r="P17" s="95">
        <f>G17</f>
        <v>6993</v>
      </c>
      <c r="Q17" s="95"/>
      <c r="R17" s="95"/>
      <c r="S17" s="95"/>
      <c r="T17" s="95"/>
      <c r="U17" s="95">
        <v>0</v>
      </c>
      <c r="V17" s="95"/>
      <c r="W17" s="95"/>
      <c r="X17" s="95"/>
      <c r="Y17" s="95"/>
      <c r="Z17" s="95"/>
      <c r="AA17" s="95"/>
      <c r="AB17" s="98">
        <f t="shared" si="1"/>
        <v>6993</v>
      </c>
      <c r="AC17" s="99">
        <f t="shared" si="2"/>
        <v>0</v>
      </c>
      <c r="AD17" s="100"/>
    </row>
    <row r="18" spans="1:30" s="17" customFormat="1" ht="29.45" customHeight="1" x14ac:dyDescent="0.2">
      <c r="A18" s="93"/>
      <c r="B18" s="126" t="s">
        <v>250</v>
      </c>
      <c r="C18" s="95"/>
      <c r="D18" s="95"/>
      <c r="E18" s="95"/>
      <c r="F18" s="95"/>
      <c r="G18" s="95">
        <f>IF(MASTER!D12="Yes",C5*0.02*3,0)</f>
        <v>4524</v>
      </c>
      <c r="H18" s="95"/>
      <c r="I18" s="95"/>
      <c r="J18" s="95"/>
      <c r="K18" s="95"/>
      <c r="L18" s="95"/>
      <c r="M18" s="95"/>
      <c r="N18" s="95"/>
      <c r="O18" s="118">
        <f t="shared" si="9"/>
        <v>4524</v>
      </c>
      <c r="P18" s="95">
        <f>G18</f>
        <v>4524</v>
      </c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8">
        <f t="shared" si="1"/>
        <v>4524</v>
      </c>
      <c r="AC18" s="99">
        <f t="shared" si="2"/>
        <v>0</v>
      </c>
      <c r="AD18" s="100"/>
    </row>
    <row r="19" spans="1:30" s="17" customFormat="1" ht="23.1" customHeight="1" x14ac:dyDescent="0.2">
      <c r="A19" s="93"/>
      <c r="B19" s="110" t="s">
        <v>67</v>
      </c>
      <c r="C19" s="95">
        <f>IF(MASTER!B9="NO",0,IF(MASTER!D9=3,C16,VLOOKUP(MASTER!D9,A5:C16,3,FALSE)))/2</f>
        <v>37700</v>
      </c>
      <c r="D19" s="95"/>
      <c r="E19" s="95"/>
      <c r="F19" s="95"/>
      <c r="G19" s="95">
        <f>IF(MASTER!B9="NO",0,IF(MASTER!D9=3,G16,VLOOKUP(MASTER!D9,A5:G16,7,FALSE)))/2</f>
        <v>20735</v>
      </c>
      <c r="H19" s="95"/>
      <c r="I19" s="95"/>
      <c r="J19" s="95"/>
      <c r="K19" s="95"/>
      <c r="L19" s="95"/>
      <c r="M19" s="95"/>
      <c r="N19" s="95"/>
      <c r="O19" s="118">
        <f t="shared" si="9"/>
        <v>58435</v>
      </c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8">
        <f t="shared" si="1"/>
        <v>0</v>
      </c>
      <c r="AC19" s="99">
        <f t="shared" si="2"/>
        <v>58435</v>
      </c>
      <c r="AD19" s="100"/>
    </row>
    <row r="20" spans="1:30" s="17" customFormat="1" ht="18.95" customHeight="1" x14ac:dyDescent="0.2">
      <c r="A20" s="93"/>
      <c r="B20" s="110" t="s">
        <v>68</v>
      </c>
      <c r="C20" s="93"/>
      <c r="D20" s="95"/>
      <c r="E20" s="95"/>
      <c r="F20" s="95"/>
      <c r="G20" s="95"/>
      <c r="H20" s="95"/>
      <c r="I20" s="95"/>
      <c r="J20" s="95"/>
      <c r="K20" s="95">
        <f>IF(MASTER!D8="Yes",6774,0)</f>
        <v>0</v>
      </c>
      <c r="L20" s="95"/>
      <c r="M20" s="95"/>
      <c r="N20" s="95"/>
      <c r="O20" s="118">
        <f t="shared" si="9"/>
        <v>0</v>
      </c>
      <c r="P20" s="95">
        <f>IF(MASTER!$D$8="YES",ROUND(K20/4,0),0)</f>
        <v>0</v>
      </c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8">
        <f t="shared" si="1"/>
        <v>0</v>
      </c>
      <c r="AC20" s="99">
        <f t="shared" si="2"/>
        <v>0</v>
      </c>
      <c r="AD20" s="100"/>
    </row>
    <row r="21" spans="1:30" s="17" customFormat="1" ht="29.45" customHeight="1" x14ac:dyDescent="0.2">
      <c r="A21" s="93"/>
      <c r="B21" s="111" t="s">
        <v>82</v>
      </c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118">
        <f t="shared" si="9"/>
        <v>0</v>
      </c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8">
        <f t="shared" si="1"/>
        <v>0</v>
      </c>
      <c r="AC21" s="99">
        <f t="shared" si="2"/>
        <v>0</v>
      </c>
      <c r="AD21" s="100"/>
    </row>
    <row r="22" spans="1:30" s="17" customFormat="1" ht="28.5" customHeight="1" x14ac:dyDescent="0.2">
      <c r="A22" s="93"/>
      <c r="B22" s="111" t="s">
        <v>149</v>
      </c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118">
        <f t="shared" si="9"/>
        <v>0</v>
      </c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8">
        <f t="shared" si="1"/>
        <v>0</v>
      </c>
      <c r="AC22" s="99">
        <f t="shared" si="2"/>
        <v>0</v>
      </c>
      <c r="AD22" s="100"/>
    </row>
    <row r="23" spans="1:30" s="17" customFormat="1" ht="34.5" customHeight="1" x14ac:dyDescent="0.2">
      <c r="A23" s="93"/>
      <c r="B23" s="111" t="s">
        <v>150</v>
      </c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118">
        <f t="shared" si="9"/>
        <v>0</v>
      </c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8">
        <f t="shared" si="1"/>
        <v>0</v>
      </c>
      <c r="AC23" s="99">
        <f t="shared" si="2"/>
        <v>0</v>
      </c>
      <c r="AD23" s="100"/>
    </row>
    <row r="24" spans="1:30" s="17" customFormat="1" ht="28.5" customHeight="1" x14ac:dyDescent="0.2">
      <c r="A24" s="93"/>
      <c r="B24" s="111" t="s">
        <v>151</v>
      </c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118">
        <f t="shared" si="9"/>
        <v>0</v>
      </c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8">
        <f t="shared" si="1"/>
        <v>0</v>
      </c>
      <c r="AC24" s="99">
        <f t="shared" si="2"/>
        <v>0</v>
      </c>
      <c r="AD24" s="100"/>
    </row>
    <row r="25" spans="1:30" s="17" customFormat="1" ht="18.95" customHeight="1" x14ac:dyDescent="0.2">
      <c r="A25" s="93"/>
      <c r="B25" s="112" t="s">
        <v>88</v>
      </c>
      <c r="C25" s="95"/>
      <c r="D25" s="95">
        <v>0</v>
      </c>
      <c r="E25" s="95">
        <v>0</v>
      </c>
      <c r="F25" s="95"/>
      <c r="G25" s="95"/>
      <c r="H25" s="95"/>
      <c r="I25" s="95"/>
      <c r="J25" s="95"/>
      <c r="K25" s="95"/>
      <c r="L25" s="95"/>
      <c r="M25" s="95"/>
      <c r="N25" s="95"/>
      <c r="O25" s="118">
        <f t="shared" si="9"/>
        <v>0</v>
      </c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8">
        <f t="shared" si="1"/>
        <v>0</v>
      </c>
      <c r="AC25" s="99">
        <f t="shared" si="2"/>
        <v>0</v>
      </c>
      <c r="AD25" s="100"/>
    </row>
    <row r="26" spans="1:30" s="17" customFormat="1" ht="69" customHeight="1" thickBot="1" x14ac:dyDescent="0.25">
      <c r="A26" s="93"/>
      <c r="B26" s="113" t="s">
        <v>60</v>
      </c>
      <c r="C26" s="114">
        <f t="shared" ref="C26:N26" si="27">SUM(C5:C25)</f>
        <v>960900</v>
      </c>
      <c r="D26" s="115">
        <f t="shared" si="27"/>
        <v>0</v>
      </c>
      <c r="E26" s="115">
        <f t="shared" si="27"/>
        <v>0</v>
      </c>
      <c r="F26" s="115">
        <f t="shared" si="27"/>
        <v>0</v>
      </c>
      <c r="G26" s="115">
        <f t="shared" si="27"/>
        <v>550159</v>
      </c>
      <c r="H26" s="115">
        <f t="shared" si="27"/>
        <v>92320</v>
      </c>
      <c r="I26" s="115">
        <f t="shared" si="27"/>
        <v>0</v>
      </c>
      <c r="J26" s="115">
        <f t="shared" si="27"/>
        <v>0</v>
      </c>
      <c r="K26" s="115">
        <f t="shared" si="27"/>
        <v>0</v>
      </c>
      <c r="L26" s="115">
        <f t="shared" si="27"/>
        <v>0</v>
      </c>
      <c r="M26" s="115">
        <f t="shared" si="27"/>
        <v>0</v>
      </c>
      <c r="N26" s="115">
        <f t="shared" si="27"/>
        <v>0</v>
      </c>
      <c r="O26" s="115">
        <f t="shared" si="9"/>
        <v>1603379</v>
      </c>
      <c r="P26" s="115">
        <f t="shared" ref="P26:AC26" si="28">SUM(P5:P25)</f>
        <v>69117</v>
      </c>
      <c r="Q26" s="115">
        <f t="shared" si="28"/>
        <v>0</v>
      </c>
      <c r="R26" s="115">
        <f t="shared" si="28"/>
        <v>84000</v>
      </c>
      <c r="S26" s="115">
        <f t="shared" si="28"/>
        <v>0</v>
      </c>
      <c r="T26" s="115">
        <f t="shared" si="28"/>
        <v>0</v>
      </c>
      <c r="U26" s="115">
        <f t="shared" si="28"/>
        <v>0</v>
      </c>
      <c r="V26" s="116">
        <f t="shared" si="28"/>
        <v>1400</v>
      </c>
      <c r="W26" s="115">
        <f t="shared" si="28"/>
        <v>0</v>
      </c>
      <c r="X26" s="115">
        <f t="shared" si="28"/>
        <v>0</v>
      </c>
      <c r="Y26" s="115">
        <f t="shared" si="28"/>
        <v>0</v>
      </c>
      <c r="Z26" s="115">
        <f t="shared" si="28"/>
        <v>10500</v>
      </c>
      <c r="AA26" s="115">
        <f t="shared" si="28"/>
        <v>250</v>
      </c>
      <c r="AB26" s="116">
        <f t="shared" si="28"/>
        <v>165267</v>
      </c>
      <c r="AC26" s="116">
        <f t="shared" si="28"/>
        <v>1438112</v>
      </c>
      <c r="AD26" s="117"/>
    </row>
    <row r="27" spans="1:30" s="17" customFormat="1" ht="24.6" customHeight="1" x14ac:dyDescent="0.2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s="17" customFormat="1" ht="21.6" customHeight="1" x14ac:dyDescent="0.2">
      <c r="B28" s="4"/>
      <c r="C28" s="119" t="s">
        <v>198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123" t="str">
        <f>MASTER!B4</f>
        <v>Employee Name</v>
      </c>
      <c r="Y28" s="3"/>
      <c r="Z28" s="3"/>
      <c r="AA28" s="3"/>
      <c r="AC28" s="3"/>
      <c r="AD28" s="3"/>
    </row>
    <row r="29" spans="1:30" s="17" customFormat="1" ht="21.6" customHeight="1" x14ac:dyDescent="0.2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24" t="str">
        <f>"("&amp;MASTER!D4&amp;")"</f>
        <v>(Teacher)</v>
      </c>
      <c r="Y29" s="4"/>
      <c r="Z29" s="4"/>
      <c r="AA29" s="4"/>
      <c r="AC29" s="24" t="s">
        <v>179</v>
      </c>
      <c r="AD29" s="4"/>
    </row>
    <row r="30" spans="1:30" s="17" customFormat="1" ht="21.6" customHeight="1" x14ac:dyDescent="0.2">
      <c r="AD30" s="4"/>
    </row>
    <row r="31" spans="1:30" s="4" customFormat="1" hidden="1" x14ac:dyDescent="0.2"/>
    <row r="32" spans="1:30" s="4" customFormat="1" hidden="1" x14ac:dyDescent="0.2"/>
    <row r="33" spans="1:31" s="4" customFormat="1" hidden="1" x14ac:dyDescent="0.2"/>
    <row r="34" spans="1:31" hidden="1" x14ac:dyDescent="0.2">
      <c r="AE34" s="3"/>
    </row>
    <row r="35" spans="1:31" hidden="1" x14ac:dyDescent="0.2">
      <c r="A35" s="24" t="s">
        <v>179</v>
      </c>
      <c r="AE35" s="3"/>
    </row>
    <row r="36" spans="1:31" ht="12.6" hidden="1" customHeight="1" x14ac:dyDescent="0.2">
      <c r="A36" s="89"/>
      <c r="B36" s="89"/>
      <c r="AE36" s="3"/>
    </row>
    <row r="37" spans="1:31" ht="12.95" hidden="1" customHeight="1" x14ac:dyDescent="0.2">
      <c r="A37" s="88"/>
      <c r="B37" s="88"/>
      <c r="AE37" s="3"/>
    </row>
    <row r="38" spans="1:31" hidden="1" x14ac:dyDescent="0.2">
      <c r="AE38" s="3"/>
    </row>
    <row r="39" spans="1:31" hidden="1" x14ac:dyDescent="0.2">
      <c r="AE39" s="3"/>
    </row>
    <row r="40" spans="1:31" hidden="1" x14ac:dyDescent="0.2">
      <c r="AE40" s="3"/>
    </row>
    <row r="41" spans="1:31" hidden="1" x14ac:dyDescent="0.2">
      <c r="C41" s="23"/>
      <c r="AE41" s="3"/>
    </row>
    <row r="42" spans="1:31" hidden="1" x14ac:dyDescent="0.2">
      <c r="C42" s="23"/>
      <c r="AE42" s="3"/>
    </row>
    <row r="43" spans="1:31" hidden="1" x14ac:dyDescent="0.2">
      <c r="C43" s="23"/>
      <c r="AE43" s="3"/>
    </row>
    <row r="44" spans="1:31" hidden="1" x14ac:dyDescent="0.2">
      <c r="C44" s="23"/>
      <c r="AE44" s="3"/>
    </row>
    <row r="45" spans="1:31" hidden="1" x14ac:dyDescent="0.2">
      <c r="C45" s="23"/>
      <c r="AE45" s="3"/>
    </row>
    <row r="46" spans="1:31" hidden="1" x14ac:dyDescent="0.2">
      <c r="C46" s="23"/>
      <c r="AE46" s="3"/>
    </row>
    <row r="47" spans="1:31" hidden="1" x14ac:dyDescent="0.2">
      <c r="C47" s="23"/>
      <c r="AE47" s="3"/>
    </row>
    <row r="48" spans="1:31" hidden="1" x14ac:dyDescent="0.2">
      <c r="C48" s="23"/>
      <c r="AE48" s="3"/>
    </row>
    <row r="49" spans="3:31" hidden="1" x14ac:dyDescent="0.2">
      <c r="C49" s="23"/>
      <c r="AE49" s="3"/>
    </row>
    <row r="50" spans="3:31" hidden="1" x14ac:dyDescent="0.2">
      <c r="C50" s="23"/>
      <c r="AE50" s="3"/>
    </row>
    <row r="51" spans="3:31" x14ac:dyDescent="0.2"/>
  </sheetData>
  <sheetProtection algorithmName="SHA-512" hashValue="V67Qi8iKxv8uHF1Y167fc7mnbgkhPtl+TlQ4Ez89RX8bolTTH7WGTd1BBjAD+gh76AG6bkEp97KykQx2MMXonA==" saltValue="Ahc8Bstm/eaGlE42bNEVqg==" spinCount="10000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9">
    <mergeCell ref="J3:K3"/>
    <mergeCell ref="Q3:T3"/>
    <mergeCell ref="B1:AD1"/>
    <mergeCell ref="B2:AD2"/>
    <mergeCell ref="V3:Y3"/>
    <mergeCell ref="C3:I3"/>
    <mergeCell ref="L3:O3"/>
    <mergeCell ref="AB3:AD3"/>
    <mergeCell ref="Z3:AA3"/>
  </mergeCells>
  <phoneticPr fontId="0" type="noConversion"/>
  <conditionalFormatting sqref="C5:O5 AA6:AA16 O6:O25 Q17:Y17 Z17:AA25 P18:Y25 D20:N20 C21:N25 P5:Z16 C6:N19">
    <cfRule type="cellIs" dxfId="4" priority="10" stopIfTrue="1" operator="equal">
      <formula>0</formula>
    </cfRule>
  </conditionalFormatting>
  <conditionalFormatting sqref="P5:P17">
    <cfRule type="cellIs" dxfId="3" priority="1" stopIfTrue="1" operator="equal">
      <formula>0</formula>
    </cfRule>
  </conditionalFormatting>
  <hyperlinks>
    <hyperlink ref="C28" r:id="rId3"/>
  </hyperlinks>
  <printOptions horizontalCentered="1"/>
  <pageMargins left="0.15748031496062992" right="0.15748031496062992" top="0.27559055118110237" bottom="7.874015748031496E-2" header="0.23622047244094491" footer="0.23622047244094491"/>
  <pageSetup paperSize="9" scale="71" orientation="landscape" r:id="rId4"/>
  <headerFooter alignWithMargins="0"/>
  <rowBreaks count="1" manualBreakCount="1">
    <brk id="50" min="1" max="2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DR576"/>
  <sheetViews>
    <sheetView view="pageBreakPreview" zoomScaleSheetLayoutView="100" workbookViewId="0">
      <selection sqref="A1:E1"/>
    </sheetView>
  </sheetViews>
  <sheetFormatPr defaultColWidth="0" defaultRowHeight="15.75" zeroHeight="1" x14ac:dyDescent="0.25"/>
  <cols>
    <col min="1" max="1" width="52.7109375" style="1" customWidth="1" collapsed="1"/>
    <col min="2" max="2" width="14.42578125" style="1" customWidth="1" collapsed="1"/>
    <col min="3" max="3" width="68.28515625" style="1" customWidth="1" collapsed="1"/>
    <col min="4" max="4" width="14.42578125" style="1" customWidth="1" collapsed="1"/>
    <col min="5" max="5" width="17.5703125" style="37" customWidth="1" collapsed="1"/>
    <col min="6" max="6" width="15.140625" style="1" hidden="1" customWidth="1" collapsed="1"/>
    <col min="7" max="7" width="7.28515625" style="1" hidden="1" customWidth="1" collapsed="1"/>
    <col min="8" max="8" width="5.7109375" style="1" hidden="1" customWidth="1" collapsed="1"/>
    <col min="9" max="10" width="7.140625" style="1" hidden="1" customWidth="1" collapsed="1"/>
    <col min="11" max="11" width="7.7109375" style="1" hidden="1" customWidth="1" collapsed="1"/>
    <col min="12" max="12" width="8.28515625" style="1" hidden="1" customWidth="1" collapsed="1"/>
    <col min="13" max="13" width="7.85546875" style="1" hidden="1" customWidth="1" collapsed="1"/>
    <col min="14" max="15" width="5.140625" style="1" hidden="1" customWidth="1" collapsed="1"/>
    <col min="16" max="16" width="7.5703125" style="1" hidden="1" customWidth="1" collapsed="1"/>
    <col min="17" max="17" width="7.140625" style="1" hidden="1" customWidth="1" collapsed="1"/>
    <col min="18" max="18" width="5.140625" style="1" hidden="1" customWidth="1" collapsed="1"/>
    <col min="19" max="19" width="8.85546875" style="1" hidden="1" customWidth="1" collapsed="1"/>
    <col min="20" max="20" width="0" style="1" hidden="1" customWidth="1" collapsed="1"/>
    <col min="21" max="21" width="5.140625" style="1" hidden="1" customWidth="1" collapsed="1"/>
    <col min="22" max="22" width="5.7109375" style="1" hidden="1" customWidth="1" collapsed="1"/>
    <col min="23" max="23" width="6" style="1" hidden="1" customWidth="1" collapsed="1"/>
    <col min="24" max="24" width="8" style="1" hidden="1" customWidth="1" collapsed="1"/>
    <col min="25" max="25" width="7" style="1" hidden="1" customWidth="1" collapsed="1"/>
    <col min="26" max="26" width="5.140625" style="1" hidden="1" customWidth="1" collapsed="1"/>
    <col min="27" max="28" width="11.140625" style="1" hidden="1" customWidth="1" collapsed="1"/>
    <col min="29" max="29" width="5.28515625" style="1" hidden="1" customWidth="1" collapsed="1"/>
    <col min="30" max="30" width="8.28515625" style="1" hidden="1" customWidth="1" collapsed="1"/>
    <col min="31" max="32" width="5.28515625" style="1" hidden="1" customWidth="1" collapsed="1"/>
    <col min="33" max="33" width="8.28515625" style="1" hidden="1" customWidth="1" collapsed="1"/>
    <col min="34" max="34" width="5.140625" style="1" hidden="1" customWidth="1" collapsed="1"/>
    <col min="35" max="36" width="9.5703125" style="1" hidden="1" customWidth="1" collapsed="1"/>
    <col min="37" max="37" width="10.5703125" style="1" hidden="1" customWidth="1" collapsed="1"/>
    <col min="38" max="38" width="5.140625" style="1" hidden="1" customWidth="1" collapsed="1"/>
    <col min="39" max="39" width="7.28515625" style="1" hidden="1" customWidth="1" collapsed="1"/>
    <col min="40" max="40" width="7.7109375" style="1" hidden="1" customWidth="1" collapsed="1"/>
    <col min="41" max="41" width="5.140625" style="1" hidden="1" customWidth="1" collapsed="1"/>
    <col min="42" max="42" width="8" style="1" hidden="1" customWidth="1" collapsed="1"/>
    <col min="43" max="43" width="11.42578125" style="1" hidden="1" customWidth="1" collapsed="1"/>
    <col min="44" max="44" width="14.28515625" style="1" hidden="1" customWidth="1" collapsed="1"/>
    <col min="45" max="45" width="9" style="1" hidden="1" customWidth="1" collapsed="1"/>
    <col min="46" max="46" width="5.85546875" style="1" hidden="1" customWidth="1" collapsed="1"/>
    <col min="47" max="47" width="7.5703125" style="1" hidden="1" customWidth="1" collapsed="1"/>
    <col min="48" max="48" width="13.140625" style="1" hidden="1" customWidth="1" collapsed="1"/>
    <col min="49" max="49" width="7.5703125" style="1" hidden="1" customWidth="1" collapsed="1"/>
    <col min="50" max="50" width="13.140625" style="1" hidden="1" customWidth="1" collapsed="1"/>
    <col min="51" max="51" width="7.5703125" style="1" hidden="1" customWidth="1" collapsed="1"/>
    <col min="52" max="52" width="13.140625" style="1" hidden="1" customWidth="1" collapsed="1"/>
    <col min="53" max="53" width="7.5703125" style="1" hidden="1" customWidth="1" collapsed="1"/>
    <col min="54" max="54" width="13.140625" style="1" hidden="1" customWidth="1" collapsed="1"/>
    <col min="55" max="55" width="7.5703125" style="1" hidden="1" customWidth="1" collapsed="1"/>
    <col min="56" max="56" width="13.140625" style="1" hidden="1" customWidth="1" collapsed="1"/>
    <col min="57" max="57" width="7.5703125" style="1" hidden="1" customWidth="1" collapsed="1"/>
    <col min="58" max="58" width="13.140625" style="1" hidden="1" customWidth="1" collapsed="1"/>
    <col min="59" max="59" width="7.5703125" style="1" hidden="1" customWidth="1" collapsed="1"/>
    <col min="60" max="60" width="13.140625" style="1" hidden="1" customWidth="1" collapsed="1"/>
    <col min="61" max="61" width="7.5703125" style="1" hidden="1" customWidth="1" collapsed="1"/>
    <col min="62" max="62" width="13.140625" style="1" hidden="1" customWidth="1" collapsed="1"/>
    <col min="63" max="63" width="5.140625" style="1" hidden="1" customWidth="1" collapsed="1"/>
    <col min="64" max="64" width="7.140625" style="1" hidden="1" customWidth="1" collapsed="1"/>
    <col min="65" max="65" width="6.7109375" style="1" hidden="1" customWidth="1" collapsed="1"/>
    <col min="66" max="66" width="5.140625" style="1" hidden="1" customWidth="1" collapsed="1"/>
    <col min="67" max="68" width="7.7109375" style="1" hidden="1" customWidth="1" collapsed="1"/>
    <col min="69" max="70" width="7.28515625" style="1" hidden="1" customWidth="1" collapsed="1"/>
    <col min="71" max="71" width="9.7109375" style="1" hidden="1" customWidth="1" collapsed="1"/>
    <col min="72" max="72" width="9.28515625" style="1" hidden="1" customWidth="1" collapsed="1"/>
    <col min="73" max="73" width="7.7109375" style="1" hidden="1" customWidth="1" collapsed="1"/>
    <col min="74" max="74" width="7.85546875" style="1" hidden="1" customWidth="1" collapsed="1"/>
    <col min="75" max="75" width="9.28515625" style="1" hidden="1" customWidth="1" collapsed="1"/>
    <col min="76" max="76" width="10" style="1" hidden="1" customWidth="1" collapsed="1"/>
    <col min="77" max="77" width="7" style="1" hidden="1" customWidth="1" collapsed="1"/>
    <col min="78" max="78" width="7.5703125" style="1" hidden="1" customWidth="1" collapsed="1"/>
    <col min="79" max="79" width="9.28515625" style="1" hidden="1" customWidth="1" collapsed="1"/>
    <col min="80" max="80" width="9" style="1" hidden="1" customWidth="1" collapsed="1"/>
    <col min="81" max="81" width="7.7109375" style="1" hidden="1" customWidth="1" collapsed="1"/>
    <col min="82" max="82" width="5.140625" style="1" hidden="1" customWidth="1" collapsed="1"/>
    <col min="83" max="83" width="7.28515625" style="1" hidden="1" customWidth="1" collapsed="1"/>
    <col min="84" max="84" width="6.5703125" style="1" hidden="1" customWidth="1" collapsed="1"/>
    <col min="85" max="85" width="6.28515625" style="1" hidden="1" customWidth="1" collapsed="1"/>
    <col min="86" max="86" width="6.42578125" style="1" hidden="1" customWidth="1" collapsed="1"/>
    <col min="87" max="87" width="5.140625" style="1" hidden="1" customWidth="1" collapsed="1"/>
    <col min="88" max="88" width="6.28515625" style="1" hidden="1" customWidth="1" collapsed="1"/>
    <col min="89" max="93" width="5.28515625" style="1" hidden="1" customWidth="1" collapsed="1"/>
    <col min="94" max="94" width="5.140625" style="1" hidden="1" customWidth="1" collapsed="1"/>
    <col min="95" max="95" width="7.5703125" style="1" hidden="1" customWidth="1" collapsed="1"/>
    <col min="96" max="96" width="7.28515625" style="1" hidden="1" customWidth="1" collapsed="1"/>
    <col min="97" max="97" width="12.85546875" style="1" hidden="1" customWidth="1" collapsed="1"/>
    <col min="98" max="98" width="7.28515625" style="1" hidden="1" customWidth="1" collapsed="1"/>
    <col min="99" max="99" width="12.85546875" style="1" hidden="1" customWidth="1" collapsed="1"/>
    <col min="100" max="100" width="9.85546875" style="1" hidden="1" customWidth="1" collapsed="1"/>
    <col min="101" max="101" width="10" style="1" hidden="1" customWidth="1" collapsed="1"/>
    <col min="102" max="102" width="13.42578125" style="1" hidden="1" customWidth="1" collapsed="1"/>
    <col min="103" max="103" width="10.140625" style="1" hidden="1" customWidth="1" collapsed="1"/>
    <col min="104" max="104" width="8.42578125" style="1" hidden="1" customWidth="1" collapsed="1"/>
    <col min="105" max="105" width="13.5703125" style="1" hidden="1" customWidth="1" collapsed="1"/>
    <col min="106" max="106" width="5.140625" style="1" hidden="1" customWidth="1" collapsed="1"/>
    <col min="107" max="107" width="8" style="1" hidden="1" customWidth="1" collapsed="1"/>
    <col min="108" max="108" width="11.42578125" style="1" hidden="1" customWidth="1" collapsed="1"/>
    <col min="109" max="109" width="7.7109375" style="1" hidden="1" customWidth="1" collapsed="1"/>
    <col min="110" max="110" width="7.5703125" style="1" hidden="1" customWidth="1" collapsed="1"/>
    <col min="111" max="112" width="5.140625" style="1" hidden="1" customWidth="1" collapsed="1"/>
    <col min="113" max="113" width="14.140625" style="1" hidden="1" customWidth="1" collapsed="1"/>
    <col min="114" max="114" width="15.5703125" style="1" hidden="1" customWidth="1" collapsed="1"/>
    <col min="115" max="115" width="6.85546875" style="1" hidden="1" customWidth="1" collapsed="1"/>
    <col min="116" max="121" width="0" style="1" hidden="1" customWidth="1" collapsed="1"/>
    <col min="122" max="122" width="0" style="1" hidden="1" customWidth="1"/>
    <col min="123" max="16384" width="0" style="1" hidden="1" collapsed="1"/>
  </cols>
  <sheetData>
    <row r="1" spans="1:121" ht="30.75" customHeight="1" x14ac:dyDescent="0.25">
      <c r="A1" s="157" t="s">
        <v>136</v>
      </c>
      <c r="B1" s="157"/>
      <c r="C1" s="157"/>
      <c r="D1" s="157"/>
      <c r="E1" s="157"/>
    </row>
    <row r="2" spans="1:121" ht="27.75" customHeight="1" x14ac:dyDescent="0.25">
      <c r="A2" s="78" t="str">
        <f>MASTER!B4</f>
        <v>Employee Name</v>
      </c>
      <c r="B2" s="79" t="str">
        <f>MASTER!D4</f>
        <v>Teacher</v>
      </c>
      <c r="C2" s="78" t="str">
        <f>MASTER!B5</f>
        <v>AAAAAXXXXA</v>
      </c>
      <c r="D2" s="79"/>
      <c r="E2" s="79"/>
    </row>
    <row r="3" spans="1:121" ht="15" customHeight="1" x14ac:dyDescent="0.3">
      <c r="A3" s="73" t="s">
        <v>117</v>
      </c>
      <c r="B3" s="74">
        <v>0</v>
      </c>
      <c r="C3" s="73" t="s">
        <v>165</v>
      </c>
      <c r="D3" s="74">
        <v>0</v>
      </c>
      <c r="E3" s="50" t="s">
        <v>159</v>
      </c>
      <c r="DQ3" s="5" t="s">
        <v>17</v>
      </c>
    </row>
    <row r="4" spans="1:121" ht="17.25" x14ac:dyDescent="0.25">
      <c r="A4" s="75" t="s">
        <v>176</v>
      </c>
      <c r="B4" s="76">
        <v>0</v>
      </c>
      <c r="C4" s="77" t="s">
        <v>144</v>
      </c>
      <c r="D4" s="76">
        <v>0</v>
      </c>
      <c r="E4" s="50">
        <f>'GA-55'!O26-'GA-55'!H26</f>
        <v>1511059</v>
      </c>
      <c r="DQ4" s="5"/>
    </row>
    <row r="5" spans="1:121" ht="15" customHeight="1" x14ac:dyDescent="0.3">
      <c r="A5" s="73" t="s">
        <v>177</v>
      </c>
      <c r="B5" s="74">
        <v>0</v>
      </c>
      <c r="C5" s="73" t="s">
        <v>138</v>
      </c>
      <c r="D5" s="74">
        <v>0</v>
      </c>
      <c r="E5" s="51" t="s">
        <v>25</v>
      </c>
      <c r="DQ5" s="5"/>
    </row>
    <row r="6" spans="1:121" ht="17.25" customHeight="1" x14ac:dyDescent="0.25">
      <c r="A6" s="77" t="s">
        <v>118</v>
      </c>
      <c r="B6" s="76">
        <v>0</v>
      </c>
      <c r="C6" s="77" t="s">
        <v>166</v>
      </c>
      <c r="D6" s="76">
        <v>0</v>
      </c>
      <c r="E6" s="51">
        <f>'Tax Old Regime'!Q46</f>
        <v>1403380</v>
      </c>
      <c r="DQ6" s="5"/>
    </row>
    <row r="7" spans="1:121" ht="15" customHeight="1" x14ac:dyDescent="0.25">
      <c r="A7" s="73" t="s">
        <v>119</v>
      </c>
      <c r="B7" s="74">
        <v>0</v>
      </c>
      <c r="C7" s="75" t="s">
        <v>167</v>
      </c>
      <c r="D7" s="74">
        <v>0</v>
      </c>
      <c r="E7" s="52" t="s">
        <v>66</v>
      </c>
      <c r="DQ7" s="5"/>
    </row>
    <row r="8" spans="1:121" ht="15" customHeight="1" x14ac:dyDescent="0.25">
      <c r="A8" s="73" t="s">
        <v>120</v>
      </c>
      <c r="B8" s="74">
        <v>0</v>
      </c>
      <c r="C8" s="77" t="s">
        <v>168</v>
      </c>
      <c r="D8" s="74">
        <v>0</v>
      </c>
      <c r="E8" s="53">
        <f>'GA-55'!Y26</f>
        <v>0</v>
      </c>
      <c r="DQ8" s="5"/>
    </row>
    <row r="9" spans="1:121" ht="15" customHeight="1" x14ac:dyDescent="0.3">
      <c r="A9" s="73" t="s">
        <v>121</v>
      </c>
      <c r="B9" s="74">
        <v>0</v>
      </c>
      <c r="C9" s="73" t="s">
        <v>169</v>
      </c>
      <c r="D9" s="74">
        <v>0</v>
      </c>
      <c r="E9" s="158" t="s">
        <v>106</v>
      </c>
      <c r="DQ9" s="5"/>
    </row>
    <row r="10" spans="1:121" ht="15" customHeight="1" x14ac:dyDescent="0.3">
      <c r="A10" s="73" t="s">
        <v>122</v>
      </c>
      <c r="B10" s="74">
        <v>0</v>
      </c>
      <c r="C10" s="73" t="s">
        <v>170</v>
      </c>
      <c r="D10" s="74">
        <v>0</v>
      </c>
      <c r="E10" s="158"/>
      <c r="DQ10" s="5" t="s">
        <v>18</v>
      </c>
    </row>
    <row r="11" spans="1:121" ht="15" customHeight="1" x14ac:dyDescent="0.3">
      <c r="A11" s="73" t="s">
        <v>161</v>
      </c>
      <c r="B11" s="74">
        <v>0</v>
      </c>
      <c r="C11" s="73" t="s">
        <v>171</v>
      </c>
      <c r="D11" s="74">
        <v>0</v>
      </c>
      <c r="E11" s="158"/>
      <c r="DQ11" s="5" t="s">
        <v>20</v>
      </c>
    </row>
    <row r="12" spans="1:121" ht="15" customHeight="1" x14ac:dyDescent="0.3">
      <c r="A12" s="73" t="s">
        <v>162</v>
      </c>
      <c r="B12" s="74">
        <v>0</v>
      </c>
      <c r="C12" s="73" t="s">
        <v>172</v>
      </c>
      <c r="D12" s="74">
        <v>0</v>
      </c>
      <c r="E12" s="51">
        <f>'Tax Old Regime'!Q30</f>
        <v>150000</v>
      </c>
      <c r="DQ12" s="5" t="s">
        <v>4</v>
      </c>
    </row>
    <row r="13" spans="1:121" ht="15" customHeight="1" x14ac:dyDescent="0.3">
      <c r="A13" s="73" t="s">
        <v>123</v>
      </c>
      <c r="B13" s="74">
        <v>0</v>
      </c>
      <c r="C13" s="73" t="s">
        <v>173</v>
      </c>
      <c r="D13" s="74">
        <v>0</v>
      </c>
      <c r="E13" s="51"/>
      <c r="DQ13" s="5"/>
    </row>
    <row r="14" spans="1:121" ht="15" customHeight="1" x14ac:dyDescent="0.3">
      <c r="A14" s="73" t="s">
        <v>163</v>
      </c>
      <c r="B14" s="74">
        <v>0</v>
      </c>
      <c r="C14" s="73" t="s">
        <v>174</v>
      </c>
      <c r="D14" s="74">
        <v>0</v>
      </c>
      <c r="E14" s="159" t="s">
        <v>8</v>
      </c>
      <c r="DQ14" s="5" t="s">
        <v>0</v>
      </c>
    </row>
    <row r="15" spans="1:121" ht="15" customHeight="1" x14ac:dyDescent="0.25">
      <c r="A15" s="73" t="s">
        <v>124</v>
      </c>
      <c r="B15" s="74">
        <v>0</v>
      </c>
      <c r="C15" s="73" t="s">
        <v>145</v>
      </c>
      <c r="D15" s="74">
        <v>0</v>
      </c>
      <c r="E15" s="159"/>
      <c r="DQ15" s="5" t="s">
        <v>20</v>
      </c>
    </row>
    <row r="16" spans="1:121" ht="15" customHeight="1" x14ac:dyDescent="0.25">
      <c r="A16" s="73" t="s">
        <v>125</v>
      </c>
      <c r="B16" s="74">
        <v>0</v>
      </c>
      <c r="C16" s="73" t="s">
        <v>146</v>
      </c>
      <c r="D16" s="74">
        <v>0</v>
      </c>
      <c r="E16" s="159"/>
      <c r="DQ16" s="5" t="s">
        <v>21</v>
      </c>
    </row>
    <row r="17" spans="1:121" ht="15" customHeight="1" x14ac:dyDescent="0.25">
      <c r="A17" s="73" t="s">
        <v>126</v>
      </c>
      <c r="B17" s="74">
        <v>0</v>
      </c>
      <c r="C17" s="73" t="s">
        <v>147</v>
      </c>
      <c r="D17" s="74">
        <v>0</v>
      </c>
      <c r="E17" s="162">
        <f>IF(B3&gt;=1,(E4*10%+B3),0)</f>
        <v>0</v>
      </c>
      <c r="DQ17" s="5" t="s">
        <v>5</v>
      </c>
    </row>
    <row r="18" spans="1:121" ht="15" customHeight="1" x14ac:dyDescent="0.3">
      <c r="A18" s="73" t="s">
        <v>164</v>
      </c>
      <c r="B18" s="74">
        <v>0</v>
      </c>
      <c r="C18" s="73" t="s">
        <v>175</v>
      </c>
      <c r="D18" s="74">
        <v>0</v>
      </c>
      <c r="E18" s="162"/>
      <c r="DQ18" s="5" t="s">
        <v>22</v>
      </c>
    </row>
    <row r="19" spans="1:121" ht="15" customHeight="1" x14ac:dyDescent="0.25">
      <c r="A19" s="161" t="str">
        <f>'Tax Old Regime'!B62</f>
        <v>Income Tax Payable</v>
      </c>
      <c r="B19" s="161"/>
      <c r="C19" s="46">
        <f>'Tax Old Regime'!Q62</f>
        <v>242855</v>
      </c>
      <c r="D19" s="54" t="s">
        <v>137</v>
      </c>
      <c r="E19" s="49">
        <f>'GA-55'!H26</f>
        <v>92320</v>
      </c>
      <c r="DQ19" s="5" t="s">
        <v>7</v>
      </c>
    </row>
    <row r="20" spans="1:121" ht="15" customHeight="1" x14ac:dyDescent="0.25">
      <c r="A20" s="160" t="str">
        <f>"Total Rebate of (US 80C, 80CCC,80CCD(1)) =  "&amp;'Tax Old Regime'!Q30</f>
        <v>Total Rebate of (US 80C, 80CCC,80CCD(1)) =  150000</v>
      </c>
      <c r="B20" s="160"/>
      <c r="C20" s="38" t="str">
        <f>"Investable Amount = "&amp;(150000-'Tax Old Regime'!Q30)</f>
        <v>Investable Amount = 0</v>
      </c>
      <c r="D20" s="2"/>
      <c r="E20" s="2"/>
      <c r="DQ20" s="5" t="s">
        <v>19</v>
      </c>
    </row>
    <row r="21" spans="1:121" ht="17.100000000000001" customHeight="1" x14ac:dyDescent="0.25">
      <c r="A21" s="155"/>
      <c r="B21" s="156"/>
      <c r="C21" s="156"/>
      <c r="D21" s="156"/>
      <c r="E21" s="156"/>
    </row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ht="7.5" customHeight="1" x14ac:dyDescent="0.25"/>
    <row r="575" ht="8.4499999999999993" customHeight="1" x14ac:dyDescent="0.25"/>
    <row r="576" x14ac:dyDescent="0.25"/>
  </sheetData>
  <sheetProtection algorithmName="SHA-512" hashValue="A5R2PF2RRHIehoZ7Y8X5Gc5JMmoA/v+PsPAU5DORc5zDRo9Vm11sReDQsl/wt2BQW14E7652MO4r9ov/4uUPyA==" saltValue="xqlJ/k4ooRQDhj3wt/K3Bg==" spinCount="100000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7">
    <mergeCell ref="A21:E21"/>
    <mergeCell ref="A1:E1"/>
    <mergeCell ref="E9:E11"/>
    <mergeCell ref="E14:E16"/>
    <mergeCell ref="A20:B20"/>
    <mergeCell ref="A19:B19"/>
    <mergeCell ref="E17:E18"/>
  </mergeCells>
  <phoneticPr fontId="0" type="noConversion"/>
  <conditionalFormatting sqref="A19:D20 E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Q11:DQ20">
    <cfRule type="cellIs" dxfId="0" priority="10" stopIfTrue="1" operator="lessThan">
      <formula>1</formula>
    </cfRule>
  </conditionalFormatting>
  <dataValidations count="7">
    <dataValidation type="whole" operator="lessThanOrEqual" allowBlank="1" showInputMessage="1" showErrorMessage="1" errorTitle="Sorry...!!! Not Allow" error="HRA Rebate Permissible up to Actual HRA Recieved" sqref="D3">
      <formula1>G18</formula1>
    </dataValidation>
    <dataValidation type="whole" operator="lessThanOrEqual" allowBlank="1" showInputMessage="1" showErrorMessage="1" errorTitle="Sorry...!!! Not Allow" error="HRA Rebate Permissible up to Actual HRA Recieved" sqref="B3">
      <formula1>E19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D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D7">
      <formula1>50001</formula1>
    </dataValidation>
    <dataValidation type="whole" operator="lessThan" allowBlank="1" showInputMessage="1" showErrorMessage="1" error="max 25000 for senior citizen max 50000" sqref="D8">
      <formula1>50001</formula1>
    </dataValidation>
  </dataValidations>
  <pageMargins left="0.5" right="0.5" top="0.2" bottom="0.2" header="0" footer="0"/>
  <pageSetup paperSize="9" scale="83" fitToWidth="0" fitToHeight="0" orientation="landscape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R78"/>
  <sheetViews>
    <sheetView showGridLines="0" view="pageBreakPreview" topLeftCell="A46" zoomScaleSheetLayoutView="100" workbookViewId="0">
      <selection activeCell="Q16" sqref="Q16"/>
    </sheetView>
  </sheetViews>
  <sheetFormatPr defaultColWidth="0" defaultRowHeight="15.75" zeroHeight="1" x14ac:dyDescent="0.25"/>
  <cols>
    <col min="1" max="1" width="3" customWidth="1" collapsed="1"/>
    <col min="2" max="2" width="3.5703125" style="8" customWidth="1" collapsed="1"/>
    <col min="3" max="3" width="4.5703125" style="9" customWidth="1" collapsed="1"/>
    <col min="4" max="5" width="9.140625" style="9" customWidth="1" collapsed="1"/>
    <col min="6" max="6" width="3.85546875" style="9" customWidth="1" collapsed="1"/>
    <col min="7" max="7" width="4.140625" style="9" customWidth="1" collapsed="1"/>
    <col min="8" max="8" width="2.7109375" style="9" customWidth="1" collapsed="1"/>
    <col min="9" max="9" width="10.5703125" style="9" customWidth="1" collapsed="1"/>
    <col min="10" max="10" width="5.140625" style="9" customWidth="1" collapsed="1"/>
    <col min="11" max="11" width="10.28515625" style="9" customWidth="1" collapsed="1"/>
    <col min="12" max="12" width="11.42578125" style="9" customWidth="1" collapsed="1"/>
    <col min="13" max="13" width="9.42578125" style="9" customWidth="1" collapsed="1"/>
    <col min="14" max="14" width="3.5703125" style="9" customWidth="1" collapsed="1"/>
    <col min="15" max="15" width="11.42578125" style="9" customWidth="1" collapsed="1"/>
    <col min="16" max="16" width="3.140625" style="10" customWidth="1" collapsed="1"/>
    <col min="17" max="17" width="14.85546875" style="11" customWidth="1" collapsed="1"/>
    <col min="18" max="18" width="2.42578125" customWidth="1" collapsed="1"/>
    <col min="19" max="16384" width="9.140625" hidden="1" collapsed="1"/>
  </cols>
  <sheetData>
    <row r="1" spans="2:17" s="14" customFormat="1" ht="18.75" x14ac:dyDescent="0.2">
      <c r="B1" s="234" t="str">
        <f>'GA-55'!B1</f>
        <v>GSSS</v>
      </c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</row>
    <row r="2" spans="2:17" s="14" customFormat="1" ht="21" thickBot="1" x14ac:dyDescent="0.25">
      <c r="B2" s="235" t="s">
        <v>218</v>
      </c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</row>
    <row r="3" spans="2:17" s="14" customFormat="1" ht="15" customHeight="1" x14ac:dyDescent="0.2">
      <c r="B3" s="33">
        <v>1</v>
      </c>
      <c r="C3" s="163" t="s">
        <v>10</v>
      </c>
      <c r="D3" s="163"/>
      <c r="E3" s="240" t="str">
        <f>MASTER!B4</f>
        <v>Employee Name</v>
      </c>
      <c r="F3" s="241"/>
      <c r="G3" s="241"/>
      <c r="H3" s="242"/>
      <c r="I3" s="82" t="s">
        <v>28</v>
      </c>
      <c r="J3" s="236" t="str">
        <f>MASTER!D4</f>
        <v>Teacher</v>
      </c>
      <c r="K3" s="236"/>
      <c r="L3" s="86" t="s">
        <v>206</v>
      </c>
      <c r="M3" s="236">
        <f>MASTER!D6</f>
        <v>0</v>
      </c>
      <c r="N3" s="236"/>
      <c r="O3" s="87" t="s">
        <v>27</v>
      </c>
      <c r="P3" s="236" t="str">
        <f>MASTER!B5</f>
        <v>AAAAAXXXXA</v>
      </c>
      <c r="Q3" s="236"/>
    </row>
    <row r="4" spans="2:17" s="14" customFormat="1" ht="15" customHeight="1" x14ac:dyDescent="0.2">
      <c r="B4" s="25">
        <v>2</v>
      </c>
      <c r="C4" s="237" t="s">
        <v>219</v>
      </c>
      <c r="D4" s="237"/>
      <c r="E4" s="163"/>
      <c r="F4" s="163"/>
      <c r="G4" s="163"/>
      <c r="H4" s="163"/>
      <c r="I4" s="163"/>
      <c r="J4" s="163"/>
      <c r="K4" s="237"/>
      <c r="L4" s="163"/>
      <c r="M4" s="163"/>
      <c r="N4" s="163"/>
      <c r="O4" s="237"/>
      <c r="P4" s="21" t="s">
        <v>11</v>
      </c>
      <c r="Q4" s="26">
        <f>'GA-55'!O26</f>
        <v>1603379</v>
      </c>
    </row>
    <row r="5" spans="2:17" s="14" customFormat="1" ht="15" customHeight="1" x14ac:dyDescent="0.2">
      <c r="B5" s="25">
        <v>3</v>
      </c>
      <c r="C5" s="163" t="s">
        <v>112</v>
      </c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21" t="s">
        <v>11</v>
      </c>
      <c r="Q5" s="27">
        <f>'Other Deduction'!B3</f>
        <v>0</v>
      </c>
    </row>
    <row r="6" spans="2:17" s="14" customFormat="1" ht="15" customHeight="1" x14ac:dyDescent="0.2">
      <c r="B6" s="25">
        <v>4</v>
      </c>
      <c r="C6" s="167" t="s">
        <v>29</v>
      </c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21" t="s">
        <v>11</v>
      </c>
      <c r="Q6" s="27">
        <f>Q4-Q5</f>
        <v>1603379</v>
      </c>
    </row>
    <row r="7" spans="2:17" s="14" customFormat="1" ht="15" customHeight="1" x14ac:dyDescent="0.2">
      <c r="B7" s="195">
        <v>5</v>
      </c>
      <c r="C7" s="168" t="s">
        <v>69</v>
      </c>
      <c r="D7" s="169"/>
      <c r="E7" s="169"/>
      <c r="F7" s="169"/>
      <c r="G7" s="169"/>
      <c r="H7" s="169"/>
      <c r="I7" s="169"/>
      <c r="J7" s="169"/>
      <c r="K7" s="169"/>
      <c r="L7" s="169"/>
      <c r="M7" s="239">
        <f>'Other Deduction'!B4</f>
        <v>0</v>
      </c>
      <c r="N7" s="239"/>
      <c r="O7" s="239"/>
      <c r="P7" s="223"/>
      <c r="Q7" s="224"/>
    </row>
    <row r="8" spans="2:17" s="14" customFormat="1" ht="15" customHeight="1" x14ac:dyDescent="0.2">
      <c r="B8" s="199"/>
      <c r="C8" s="168" t="s">
        <v>70</v>
      </c>
      <c r="D8" s="169"/>
      <c r="E8" s="169"/>
      <c r="F8" s="169"/>
      <c r="G8" s="169"/>
      <c r="H8" s="169"/>
      <c r="I8" s="169"/>
      <c r="J8" s="169"/>
      <c r="K8" s="169"/>
      <c r="L8" s="169"/>
      <c r="M8" s="239">
        <f>'Other Deduction'!B5</f>
        <v>0</v>
      </c>
      <c r="N8" s="239"/>
      <c r="O8" s="239"/>
      <c r="P8" s="227"/>
      <c r="Q8" s="228"/>
    </row>
    <row r="9" spans="2:17" s="14" customFormat="1" ht="15" customHeight="1" x14ac:dyDescent="0.2">
      <c r="B9" s="196"/>
      <c r="C9" s="168" t="s">
        <v>158</v>
      </c>
      <c r="D9" s="169"/>
      <c r="E9" s="169"/>
      <c r="F9" s="169"/>
      <c r="G9" s="169"/>
      <c r="H9" s="169"/>
      <c r="I9" s="169"/>
      <c r="J9" s="169"/>
      <c r="K9" s="169"/>
      <c r="L9" s="169"/>
      <c r="M9" s="239">
        <f>IF(Q6&lt;50000,Q6,50000)</f>
        <v>50000</v>
      </c>
      <c r="N9" s="239"/>
      <c r="O9" s="239"/>
      <c r="P9" s="21" t="s">
        <v>11</v>
      </c>
      <c r="Q9" s="27">
        <f>SUM(M7:O9)</f>
        <v>50000</v>
      </c>
    </row>
    <row r="10" spans="2:17" s="14" customFormat="1" ht="15" customHeight="1" x14ac:dyDescent="0.2">
      <c r="B10" s="25">
        <v>6</v>
      </c>
      <c r="C10" s="238" t="s">
        <v>12</v>
      </c>
      <c r="D10" s="238"/>
      <c r="E10" s="238"/>
      <c r="F10" s="238"/>
      <c r="G10" s="238"/>
      <c r="H10" s="238"/>
      <c r="I10" s="238"/>
      <c r="J10" s="238"/>
      <c r="K10" s="238"/>
      <c r="L10" s="238"/>
      <c r="M10" s="238"/>
      <c r="N10" s="238"/>
      <c r="O10" s="238"/>
      <c r="P10" s="21" t="s">
        <v>11</v>
      </c>
      <c r="Q10" s="27">
        <f>Q6-Q9</f>
        <v>1553379</v>
      </c>
    </row>
    <row r="11" spans="2:17" s="14" customFormat="1" ht="15" customHeight="1" x14ac:dyDescent="0.2">
      <c r="B11" s="208">
        <v>7</v>
      </c>
      <c r="C11" s="163" t="s">
        <v>30</v>
      </c>
      <c r="D11" s="163"/>
      <c r="E11" s="163"/>
      <c r="F11" s="163"/>
      <c r="G11" s="163"/>
      <c r="H11" s="163"/>
      <c r="I11" s="163"/>
      <c r="J11" s="163"/>
      <c r="K11" s="238" t="s">
        <v>31</v>
      </c>
      <c r="L11" s="238"/>
      <c r="M11" s="239">
        <f>'Other Deduction'!B6</f>
        <v>0</v>
      </c>
      <c r="N11" s="239"/>
      <c r="O11" s="239"/>
      <c r="P11" s="254"/>
      <c r="Q11" s="255"/>
    </row>
    <row r="12" spans="2:17" s="14" customFormat="1" ht="15" customHeight="1" x14ac:dyDescent="0.2">
      <c r="B12" s="208"/>
      <c r="C12" s="249" t="s">
        <v>32</v>
      </c>
      <c r="D12" s="250"/>
      <c r="E12" s="246" t="s">
        <v>83</v>
      </c>
      <c r="F12" s="247"/>
      <c r="G12" s="248"/>
      <c r="H12" s="256" t="s">
        <v>13</v>
      </c>
      <c r="I12" s="256"/>
      <c r="J12" s="256"/>
      <c r="K12" s="238" t="s">
        <v>33</v>
      </c>
      <c r="L12" s="238"/>
      <c r="M12" s="238" t="s">
        <v>61</v>
      </c>
      <c r="N12" s="238"/>
      <c r="O12" s="238"/>
      <c r="P12" s="254"/>
      <c r="Q12" s="255"/>
    </row>
    <row r="13" spans="2:17" s="14" customFormat="1" ht="15" customHeight="1" x14ac:dyDescent="0.2">
      <c r="B13" s="208"/>
      <c r="C13" s="251"/>
      <c r="D13" s="252"/>
      <c r="E13" s="243">
        <f>ROUND(M11*0.3,0)</f>
        <v>0</v>
      </c>
      <c r="F13" s="244"/>
      <c r="G13" s="245"/>
      <c r="H13" s="239">
        <f>IF(('GA-55'!X26+'Other Deduction'!B9)&gt;200000,200000,('GA-55'!X26+'Other Deduction'!B9))</f>
        <v>0</v>
      </c>
      <c r="I13" s="239"/>
      <c r="J13" s="239"/>
      <c r="K13" s="239">
        <f>'Other Deduction'!B7</f>
        <v>0</v>
      </c>
      <c r="L13" s="239"/>
      <c r="M13" s="239">
        <f>E13+H13+K13</f>
        <v>0</v>
      </c>
      <c r="N13" s="239"/>
      <c r="O13" s="239"/>
      <c r="P13" s="254"/>
      <c r="Q13" s="255"/>
    </row>
    <row r="14" spans="2:17" s="14" customFormat="1" ht="15" customHeight="1" x14ac:dyDescent="0.2">
      <c r="B14" s="25"/>
      <c r="C14" s="238" t="s">
        <v>34</v>
      </c>
      <c r="D14" s="238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1" t="s">
        <v>11</v>
      </c>
      <c r="Q14" s="27">
        <f>M11-M13</f>
        <v>0</v>
      </c>
    </row>
    <row r="15" spans="2:17" s="14" customFormat="1" ht="15" customHeight="1" x14ac:dyDescent="0.2">
      <c r="B15" s="25">
        <v>8</v>
      </c>
      <c r="C15" s="238" t="s">
        <v>62</v>
      </c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1" t="s">
        <v>11</v>
      </c>
      <c r="Q15" s="27">
        <f>Q10+Q14</f>
        <v>1553379</v>
      </c>
    </row>
    <row r="16" spans="2:17" s="14" customFormat="1" ht="15" customHeight="1" x14ac:dyDescent="0.2">
      <c r="B16" s="25">
        <v>9</v>
      </c>
      <c r="C16" s="163" t="s">
        <v>26</v>
      </c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21" t="s">
        <v>11</v>
      </c>
      <c r="Q16" s="27">
        <f>'Other Deduction'!D3+'Other Deduction'!D4</f>
        <v>0</v>
      </c>
    </row>
    <row r="17" spans="2:17" s="14" customFormat="1" ht="15" customHeight="1" x14ac:dyDescent="0.2">
      <c r="B17" s="25">
        <v>10</v>
      </c>
      <c r="C17" s="163" t="s">
        <v>35</v>
      </c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21" t="s">
        <v>11</v>
      </c>
      <c r="Q17" s="26">
        <f>Q15+Q16</f>
        <v>1553379</v>
      </c>
    </row>
    <row r="18" spans="2:17" s="14" customFormat="1" ht="15" customHeight="1" x14ac:dyDescent="0.2">
      <c r="B18" s="195">
        <v>11</v>
      </c>
      <c r="C18" s="179" t="s">
        <v>113</v>
      </c>
      <c r="D18" s="179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179"/>
      <c r="Q18" s="215"/>
    </row>
    <row r="19" spans="2:17" s="14" customFormat="1" ht="15" customHeight="1" x14ac:dyDescent="0.2">
      <c r="B19" s="199"/>
      <c r="C19" s="216" t="s">
        <v>100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7"/>
    </row>
    <row r="20" spans="2:17" s="14" customFormat="1" ht="15" customHeight="1" x14ac:dyDescent="0.2">
      <c r="B20" s="199"/>
      <c r="C20" s="6" t="s">
        <v>36</v>
      </c>
      <c r="D20" s="163" t="s">
        <v>71</v>
      </c>
      <c r="E20" s="163"/>
      <c r="F20" s="163"/>
      <c r="G20" s="163"/>
      <c r="H20" s="21" t="s">
        <v>11</v>
      </c>
      <c r="I20" s="12">
        <f>'GA-55'!R26</f>
        <v>84000</v>
      </c>
      <c r="J20" s="6" t="s">
        <v>37</v>
      </c>
      <c r="K20" s="218" t="s">
        <v>108</v>
      </c>
      <c r="L20" s="218"/>
      <c r="M20" s="218"/>
      <c r="N20" s="21" t="s">
        <v>11</v>
      </c>
      <c r="O20" s="48">
        <v>0</v>
      </c>
      <c r="P20" s="223"/>
      <c r="Q20" s="224"/>
    </row>
    <row r="21" spans="2:17" s="14" customFormat="1" ht="15" customHeight="1" x14ac:dyDescent="0.2">
      <c r="B21" s="199"/>
      <c r="C21" s="6" t="s">
        <v>38</v>
      </c>
      <c r="D21" s="163" t="s">
        <v>72</v>
      </c>
      <c r="E21" s="163"/>
      <c r="F21" s="163"/>
      <c r="G21" s="163"/>
      <c r="H21" s="21" t="s">
        <v>11</v>
      </c>
      <c r="I21" s="12">
        <f>'GA-55'!U26+'Other Deduction'!B10</f>
        <v>0</v>
      </c>
      <c r="J21" s="6" t="s">
        <v>39</v>
      </c>
      <c r="K21" s="219" t="s">
        <v>40</v>
      </c>
      <c r="L21" s="219"/>
      <c r="M21" s="219"/>
      <c r="N21" s="21" t="s">
        <v>11</v>
      </c>
      <c r="O21" s="12">
        <f>'Other Deduction'!D6</f>
        <v>0</v>
      </c>
      <c r="P21" s="225"/>
      <c r="Q21" s="226"/>
    </row>
    <row r="22" spans="2:17" s="14" customFormat="1" ht="15" customHeight="1" x14ac:dyDescent="0.2">
      <c r="B22" s="199"/>
      <c r="C22" s="6" t="s">
        <v>41</v>
      </c>
      <c r="D22" s="163" t="s">
        <v>73</v>
      </c>
      <c r="E22" s="163"/>
      <c r="F22" s="163"/>
      <c r="G22" s="163"/>
      <c r="H22" s="21" t="s">
        <v>11</v>
      </c>
      <c r="I22" s="12">
        <f>'Other Deduction'!B14</f>
        <v>0</v>
      </c>
      <c r="J22" s="6" t="s">
        <v>42</v>
      </c>
      <c r="K22" s="219" t="s">
        <v>16</v>
      </c>
      <c r="L22" s="219"/>
      <c r="M22" s="219"/>
      <c r="N22" s="21" t="s">
        <v>11</v>
      </c>
      <c r="O22" s="13">
        <f>'Other Deduction'!B15</f>
        <v>0</v>
      </c>
      <c r="P22" s="225"/>
      <c r="Q22" s="226"/>
    </row>
    <row r="23" spans="2:17" s="14" customFormat="1" ht="15" customHeight="1" x14ac:dyDescent="0.2">
      <c r="B23" s="199"/>
      <c r="C23" s="6" t="s">
        <v>43</v>
      </c>
      <c r="D23" s="163" t="s">
        <v>74</v>
      </c>
      <c r="E23" s="163"/>
      <c r="F23" s="163"/>
      <c r="G23" s="163"/>
      <c r="H23" s="21" t="s">
        <v>11</v>
      </c>
      <c r="I23" s="12">
        <f>'Other Deduction'!B16</f>
        <v>0</v>
      </c>
      <c r="J23" s="6" t="s">
        <v>44</v>
      </c>
      <c r="K23" s="219" t="s">
        <v>101</v>
      </c>
      <c r="L23" s="219"/>
      <c r="M23" s="219"/>
      <c r="N23" s="21" t="s">
        <v>11</v>
      </c>
      <c r="O23" s="13">
        <f>'Other Deduction'!B12</f>
        <v>0</v>
      </c>
      <c r="P23" s="225"/>
      <c r="Q23" s="226"/>
    </row>
    <row r="24" spans="2:17" s="14" customFormat="1" ht="15" customHeight="1" x14ac:dyDescent="0.2">
      <c r="B24" s="199"/>
      <c r="C24" s="6" t="s">
        <v>45</v>
      </c>
      <c r="D24" s="163" t="s">
        <v>75</v>
      </c>
      <c r="E24" s="163"/>
      <c r="F24" s="163"/>
      <c r="G24" s="163"/>
      <c r="H24" s="21" t="s">
        <v>11</v>
      </c>
      <c r="I24" s="12">
        <f>'Other Deduction'!B17</f>
        <v>0</v>
      </c>
      <c r="J24" s="6" t="s">
        <v>46</v>
      </c>
      <c r="K24" s="219" t="s">
        <v>104</v>
      </c>
      <c r="L24" s="219"/>
      <c r="M24" s="219"/>
      <c r="N24" s="21" t="s">
        <v>11</v>
      </c>
      <c r="O24" s="12">
        <f>'Other Deduction'!D15</f>
        <v>0</v>
      </c>
      <c r="P24" s="225"/>
      <c r="Q24" s="226"/>
    </row>
    <row r="25" spans="2:17" s="14" customFormat="1" ht="15" customHeight="1" x14ac:dyDescent="0.2">
      <c r="B25" s="199"/>
      <c r="C25" s="6" t="s">
        <v>47</v>
      </c>
      <c r="D25" s="229" t="str">
        <f>IF(MASTER!B8="No","GPF","GPF 2004")</f>
        <v>GPF 2004</v>
      </c>
      <c r="E25" s="229"/>
      <c r="F25" s="229"/>
      <c r="G25" s="229"/>
      <c r="H25" s="21" t="s">
        <v>11</v>
      </c>
      <c r="I25" s="12">
        <f>'GA-55'!P26</f>
        <v>69117</v>
      </c>
      <c r="J25" s="6" t="s">
        <v>48</v>
      </c>
      <c r="K25" s="219" t="s">
        <v>103</v>
      </c>
      <c r="L25" s="219"/>
      <c r="M25" s="219"/>
      <c r="N25" s="21" t="s">
        <v>11</v>
      </c>
      <c r="O25" s="12">
        <f>'Other Deduction'!D16</f>
        <v>0</v>
      </c>
      <c r="P25" s="225"/>
      <c r="Q25" s="226"/>
    </row>
    <row r="26" spans="2:17" s="14" customFormat="1" ht="15" customHeight="1" x14ac:dyDescent="0.2">
      <c r="B26" s="199"/>
      <c r="C26" s="6" t="s">
        <v>49</v>
      </c>
      <c r="D26" s="168" t="s">
        <v>109</v>
      </c>
      <c r="E26" s="169"/>
      <c r="F26" s="169"/>
      <c r="G26" s="170"/>
      <c r="H26" s="21" t="s">
        <v>11</v>
      </c>
      <c r="I26" s="13">
        <f>'GA-55'!V6</f>
        <v>1400</v>
      </c>
      <c r="J26" s="6" t="s">
        <v>50</v>
      </c>
      <c r="K26" s="163" t="s">
        <v>102</v>
      </c>
      <c r="L26" s="163"/>
      <c r="M26" s="163"/>
      <c r="N26" s="21" t="s">
        <v>11</v>
      </c>
      <c r="O26" s="12">
        <f>'Other Deduction'!B11</f>
        <v>0</v>
      </c>
      <c r="P26" s="225"/>
      <c r="Q26" s="226"/>
    </row>
    <row r="27" spans="2:17" s="14" customFormat="1" ht="15" customHeight="1" x14ac:dyDescent="0.2">
      <c r="B27" s="199"/>
      <c r="C27" s="6" t="s">
        <v>51</v>
      </c>
      <c r="D27" s="163" t="s">
        <v>9</v>
      </c>
      <c r="E27" s="163"/>
      <c r="F27" s="163"/>
      <c r="G27" s="163"/>
      <c r="H27" s="21" t="s">
        <v>11</v>
      </c>
      <c r="I27" s="13">
        <f>'Other Deduction'!B13</f>
        <v>0</v>
      </c>
      <c r="J27" s="6" t="s">
        <v>52</v>
      </c>
      <c r="K27" s="163" t="s">
        <v>134</v>
      </c>
      <c r="L27" s="163"/>
      <c r="M27" s="163"/>
      <c r="N27" s="21" t="s">
        <v>11</v>
      </c>
      <c r="O27" s="12">
        <f>'Other Deduction'!D5</f>
        <v>0</v>
      </c>
      <c r="P27" s="225"/>
      <c r="Q27" s="226"/>
    </row>
    <row r="28" spans="2:17" s="14" customFormat="1" ht="15" customHeight="1" x14ac:dyDescent="0.2">
      <c r="B28" s="199"/>
      <c r="C28" s="6" t="s">
        <v>53</v>
      </c>
      <c r="D28" s="163" t="s">
        <v>84</v>
      </c>
      <c r="E28" s="163"/>
      <c r="F28" s="163"/>
      <c r="G28" s="163"/>
      <c r="H28" s="21" t="s">
        <v>11</v>
      </c>
      <c r="I28" s="12">
        <f>'GA-55'!W26+'Other Deduction'!B8</f>
        <v>0</v>
      </c>
      <c r="J28" s="6" t="s">
        <v>139</v>
      </c>
      <c r="K28" s="163" t="s">
        <v>140</v>
      </c>
      <c r="L28" s="163"/>
      <c r="M28" s="163"/>
      <c r="N28" s="21" t="s">
        <v>11</v>
      </c>
      <c r="O28" s="12">
        <f>'Other Deduction'!B18</f>
        <v>0</v>
      </c>
      <c r="P28" s="225"/>
      <c r="Q28" s="226"/>
    </row>
    <row r="29" spans="2:17" s="14" customFormat="1" ht="15" customHeight="1" x14ac:dyDescent="0.2">
      <c r="B29" s="199"/>
      <c r="C29" s="220" t="s">
        <v>141</v>
      </c>
      <c r="D29" s="221"/>
      <c r="E29" s="221"/>
      <c r="F29" s="221"/>
      <c r="G29" s="221"/>
      <c r="H29" s="221"/>
      <c r="I29" s="221"/>
      <c r="J29" s="221"/>
      <c r="K29" s="221"/>
      <c r="L29" s="221"/>
      <c r="M29" s="222"/>
      <c r="N29" s="21" t="s">
        <v>11</v>
      </c>
      <c r="O29" s="15">
        <f>SUM(I20:I28)+SUM(O20:O28)</f>
        <v>154517</v>
      </c>
      <c r="P29" s="227"/>
      <c r="Q29" s="228"/>
    </row>
    <row r="30" spans="2:17" s="14" customFormat="1" ht="15" customHeight="1" x14ac:dyDescent="0.2">
      <c r="B30" s="199"/>
      <c r="C30" s="167" t="s">
        <v>99</v>
      </c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21" t="s">
        <v>11</v>
      </c>
      <c r="Q30" s="26">
        <f>IF(O29&lt;150001,ROUND(O29,0),150000)</f>
        <v>150000</v>
      </c>
    </row>
    <row r="31" spans="2:17" s="14" customFormat="1" ht="15" customHeight="1" x14ac:dyDescent="0.2">
      <c r="B31" s="199"/>
      <c r="C31" s="230" t="s">
        <v>116</v>
      </c>
      <c r="D31" s="231"/>
      <c r="E31" s="231"/>
      <c r="F31" s="231"/>
      <c r="G31" s="231"/>
      <c r="H31" s="231"/>
      <c r="I31" s="231"/>
      <c r="J31" s="231"/>
      <c r="K31" s="231"/>
      <c r="L31" s="231"/>
      <c r="M31" s="231"/>
      <c r="N31" s="231"/>
      <c r="O31" s="232"/>
      <c r="P31" s="21"/>
      <c r="Q31" s="47">
        <v>0</v>
      </c>
    </row>
    <row r="32" spans="2:17" s="14" customFormat="1" ht="15" customHeight="1" x14ac:dyDescent="0.2">
      <c r="B32" s="199"/>
      <c r="C32" s="188" t="s">
        <v>115</v>
      </c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189"/>
      <c r="O32" s="190"/>
      <c r="P32" s="21" t="s">
        <v>11</v>
      </c>
      <c r="Q32" s="27">
        <f>'Other Deduction'!D7</f>
        <v>0</v>
      </c>
    </row>
    <row r="33" spans="2:17" s="14" customFormat="1" ht="15" customHeight="1" x14ac:dyDescent="0.2">
      <c r="B33" s="196"/>
      <c r="C33" s="167" t="s">
        <v>107</v>
      </c>
      <c r="D33" s="167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21" t="s">
        <v>11</v>
      </c>
      <c r="Q33" s="26">
        <f>SUM(Q30:Q32)</f>
        <v>150000</v>
      </c>
    </row>
    <row r="34" spans="2:17" s="14" customFormat="1" ht="15" customHeight="1" x14ac:dyDescent="0.2">
      <c r="B34" s="195">
        <v>12</v>
      </c>
      <c r="C34" s="179" t="s">
        <v>114</v>
      </c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215"/>
    </row>
    <row r="35" spans="2:17" s="14" customFormat="1" ht="15" customHeight="1" x14ac:dyDescent="0.2">
      <c r="B35" s="199"/>
      <c r="C35" s="164" t="s">
        <v>152</v>
      </c>
      <c r="D35" s="165"/>
      <c r="E35" s="165"/>
      <c r="F35" s="165"/>
      <c r="G35" s="165"/>
      <c r="H35" s="165"/>
      <c r="I35" s="165"/>
      <c r="J35" s="165"/>
      <c r="K35" s="165"/>
      <c r="L35" s="165"/>
      <c r="M35" s="165"/>
      <c r="N35" s="165"/>
      <c r="O35" s="166"/>
      <c r="P35" s="21" t="s">
        <v>11</v>
      </c>
      <c r="Q35" s="27">
        <f>'Other Deduction'!D8</f>
        <v>0</v>
      </c>
    </row>
    <row r="36" spans="2:17" s="14" customFormat="1" ht="15" customHeight="1" x14ac:dyDescent="0.2">
      <c r="B36" s="199"/>
      <c r="C36" s="163" t="s">
        <v>153</v>
      </c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21" t="s">
        <v>11</v>
      </c>
      <c r="Q36" s="27">
        <f>'Other Deduction'!D9</f>
        <v>0</v>
      </c>
    </row>
    <row r="37" spans="2:17" s="14" customFormat="1" ht="15" customHeight="1" x14ac:dyDescent="0.2">
      <c r="B37" s="199"/>
      <c r="C37" s="163" t="s">
        <v>160</v>
      </c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21" t="s">
        <v>11</v>
      </c>
      <c r="Q37" s="27">
        <f>'Other Deduction'!D10</f>
        <v>0</v>
      </c>
    </row>
    <row r="38" spans="2:17" s="14" customFormat="1" ht="15" customHeight="1" x14ac:dyDescent="0.2">
      <c r="B38" s="199"/>
      <c r="C38" s="163" t="s">
        <v>127</v>
      </c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21" t="s">
        <v>11</v>
      </c>
      <c r="Q38" s="27">
        <f>'Other Deduction'!D11</f>
        <v>0</v>
      </c>
    </row>
    <row r="39" spans="2:17" s="14" customFormat="1" ht="15" customHeight="1" x14ac:dyDescent="0.2">
      <c r="B39" s="199"/>
      <c r="C39" s="163" t="s">
        <v>128</v>
      </c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21" t="s">
        <v>11</v>
      </c>
      <c r="Q39" s="27">
        <f>'Other Deduction'!D12</f>
        <v>0</v>
      </c>
    </row>
    <row r="40" spans="2:17" s="14" customFormat="1" ht="15" customHeight="1" x14ac:dyDescent="0.2">
      <c r="B40" s="199"/>
      <c r="C40" s="164" t="s">
        <v>129</v>
      </c>
      <c r="D40" s="165"/>
      <c r="E40" s="165"/>
      <c r="F40" s="165"/>
      <c r="G40" s="165"/>
      <c r="H40" s="165"/>
      <c r="I40" s="165"/>
      <c r="J40" s="165"/>
      <c r="K40" s="165"/>
      <c r="L40" s="165"/>
      <c r="M40" s="165"/>
      <c r="N40" s="165"/>
      <c r="O40" s="166"/>
      <c r="P40" s="21" t="s">
        <v>11</v>
      </c>
      <c r="Q40" s="27">
        <f>'Other Deduction'!D13</f>
        <v>0</v>
      </c>
    </row>
    <row r="41" spans="2:17" s="14" customFormat="1" ht="15" customHeight="1" x14ac:dyDescent="0.2">
      <c r="B41" s="199"/>
      <c r="C41" s="168" t="s">
        <v>154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70"/>
      <c r="P41" s="21" t="s">
        <v>11</v>
      </c>
      <c r="Q41" s="27">
        <f>IF(MASTER!B11="Yes",IF('Other Deduction'!D3&lt;50001,'Other Deduction'!D3,50000),IF('Other Deduction'!D3&lt;10001,'Other Deduction'!D3,10000))</f>
        <v>0</v>
      </c>
    </row>
    <row r="42" spans="2:17" s="14" customFormat="1" ht="15" customHeight="1" x14ac:dyDescent="0.2">
      <c r="B42" s="199"/>
      <c r="C42" s="168" t="s">
        <v>105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70"/>
      <c r="P42" s="21" t="s">
        <v>11</v>
      </c>
      <c r="Q42" s="27">
        <f>'Other Deduction'!D14</f>
        <v>0</v>
      </c>
    </row>
    <row r="43" spans="2:17" s="14" customFormat="1" ht="15" customHeight="1" x14ac:dyDescent="0.2">
      <c r="B43" s="196"/>
      <c r="C43" s="167" t="s">
        <v>54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21" t="s">
        <v>11</v>
      </c>
      <c r="Q43" s="28">
        <f>SUM(Q35:Q42)</f>
        <v>0</v>
      </c>
    </row>
    <row r="44" spans="2:17" s="14" customFormat="1" ht="15" customHeight="1" x14ac:dyDescent="0.2">
      <c r="B44" s="25">
        <v>13</v>
      </c>
      <c r="C44" s="179" t="s">
        <v>111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21" t="s">
        <v>11</v>
      </c>
      <c r="Q44" s="27">
        <f>Q33+Q43</f>
        <v>150000</v>
      </c>
    </row>
    <row r="45" spans="2:17" s="14" customFormat="1" ht="15" customHeight="1" x14ac:dyDescent="0.2">
      <c r="B45" s="25">
        <v>14</v>
      </c>
      <c r="C45" s="163" t="s">
        <v>63</v>
      </c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21" t="s">
        <v>11</v>
      </c>
      <c r="Q45" s="27">
        <f>(Q17-Q44)</f>
        <v>1403379</v>
      </c>
    </row>
    <row r="46" spans="2:17" s="14" customFormat="1" x14ac:dyDescent="0.2">
      <c r="B46" s="25">
        <v>15</v>
      </c>
      <c r="C46" s="179" t="s">
        <v>143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21" t="s">
        <v>11</v>
      </c>
      <c r="Q46" s="26">
        <f>ROUND(Q45,-1)</f>
        <v>1403380</v>
      </c>
    </row>
    <row r="47" spans="2:17" s="14" customFormat="1" ht="15" customHeight="1" x14ac:dyDescent="0.2">
      <c r="B47" s="195">
        <v>16</v>
      </c>
      <c r="C47" s="163" t="s">
        <v>55</v>
      </c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200"/>
    </row>
    <row r="48" spans="2:17" s="14" customFormat="1" ht="15" customHeight="1" x14ac:dyDescent="0.2">
      <c r="B48" s="199"/>
      <c r="C48" s="201" t="s">
        <v>78</v>
      </c>
      <c r="D48" s="201"/>
      <c r="E48" s="201"/>
      <c r="F48" s="201"/>
      <c r="G48" s="201"/>
      <c r="H48" s="201" t="s">
        <v>94</v>
      </c>
      <c r="I48" s="201"/>
      <c r="J48" s="201"/>
      <c r="K48" s="201"/>
      <c r="L48" s="202" t="s">
        <v>110</v>
      </c>
      <c r="M48" s="203"/>
      <c r="N48" s="203"/>
      <c r="O48" s="204"/>
      <c r="P48" s="7"/>
      <c r="Q48" s="29"/>
    </row>
    <row r="49" spans="2:17" s="14" customFormat="1" ht="15" customHeight="1" x14ac:dyDescent="0.2">
      <c r="B49" s="199"/>
      <c r="C49" s="172" t="s">
        <v>79</v>
      </c>
      <c r="D49" s="173"/>
      <c r="E49" s="174"/>
      <c r="F49" s="171" t="s">
        <v>56</v>
      </c>
      <c r="G49" s="171"/>
      <c r="H49" s="172" t="s">
        <v>95</v>
      </c>
      <c r="I49" s="173"/>
      <c r="J49" s="174"/>
      <c r="K49" s="20" t="s">
        <v>56</v>
      </c>
      <c r="L49" s="172"/>
      <c r="M49" s="173"/>
      <c r="N49" s="174"/>
      <c r="O49" s="20"/>
      <c r="P49" s="21" t="s">
        <v>11</v>
      </c>
      <c r="Q49" s="30">
        <v>0</v>
      </c>
    </row>
    <row r="50" spans="2:17" s="14" customFormat="1" ht="15" customHeight="1" x14ac:dyDescent="0.2">
      <c r="B50" s="199"/>
      <c r="C50" s="172" t="s">
        <v>57</v>
      </c>
      <c r="D50" s="173"/>
      <c r="E50" s="174"/>
      <c r="F50" s="175">
        <v>0.05</v>
      </c>
      <c r="G50" s="171"/>
      <c r="H50" s="171" t="s">
        <v>96</v>
      </c>
      <c r="I50" s="171"/>
      <c r="J50" s="171"/>
      <c r="K50" s="19">
        <v>0.05</v>
      </c>
      <c r="L50" s="172" t="s">
        <v>80</v>
      </c>
      <c r="M50" s="173"/>
      <c r="N50" s="174"/>
      <c r="O50" s="20" t="s">
        <v>56</v>
      </c>
      <c r="P50" s="21" t="s">
        <v>11</v>
      </c>
      <c r="Q50" s="30">
        <f>ROUND(IF(MASTER!B11="No",IF(Q46&lt;250001,0,IF(Q46&gt;500000,12500,((Q46-250000)*0.05))),IF(Q46&lt;300001,0,IF(Q46&gt;500000,10000,((Q46-300000)*0.05)))),0)</f>
        <v>12500</v>
      </c>
    </row>
    <row r="51" spans="2:17" s="14" customFormat="1" ht="15" customHeight="1" x14ac:dyDescent="0.2">
      <c r="B51" s="199"/>
      <c r="C51" s="172" t="s">
        <v>58</v>
      </c>
      <c r="D51" s="173"/>
      <c r="E51" s="174"/>
      <c r="F51" s="175">
        <v>0.2</v>
      </c>
      <c r="G51" s="171"/>
      <c r="H51" s="171" t="s">
        <v>58</v>
      </c>
      <c r="I51" s="171"/>
      <c r="J51" s="171"/>
      <c r="K51" s="19">
        <v>0.2</v>
      </c>
      <c r="L51" s="172" t="s">
        <v>58</v>
      </c>
      <c r="M51" s="173"/>
      <c r="N51" s="174"/>
      <c r="O51" s="19">
        <v>0.2</v>
      </c>
      <c r="P51" s="21" t="s">
        <v>11</v>
      </c>
      <c r="Q51" s="30">
        <f>IF(Q46&lt;500001,0,IF(Q46&gt;1000000,100000,((Q46-500000)*0.2)))</f>
        <v>100000</v>
      </c>
    </row>
    <row r="52" spans="2:17" s="14" customFormat="1" ht="15" customHeight="1" x14ac:dyDescent="0.2">
      <c r="B52" s="199"/>
      <c r="C52" s="205" t="s">
        <v>76</v>
      </c>
      <c r="D52" s="206"/>
      <c r="E52" s="207"/>
      <c r="F52" s="175">
        <v>0.3</v>
      </c>
      <c r="G52" s="171"/>
      <c r="H52" s="171" t="s">
        <v>77</v>
      </c>
      <c r="I52" s="171"/>
      <c r="J52" s="171"/>
      <c r="K52" s="19">
        <v>0.3</v>
      </c>
      <c r="L52" s="172" t="s">
        <v>77</v>
      </c>
      <c r="M52" s="173"/>
      <c r="N52" s="174"/>
      <c r="O52" s="19">
        <v>0.3</v>
      </c>
      <c r="P52" s="21" t="s">
        <v>11</v>
      </c>
      <c r="Q52" s="30">
        <f>IF(Q46&lt;1000001,0,((Q46-1000000)*0.3))</f>
        <v>121014</v>
      </c>
    </row>
    <row r="53" spans="2:17" s="14" customFormat="1" ht="15" customHeight="1" x14ac:dyDescent="0.2">
      <c r="B53" s="199"/>
      <c r="C53" s="212" t="s">
        <v>64</v>
      </c>
      <c r="D53" s="213"/>
      <c r="E53" s="213"/>
      <c r="F53" s="213"/>
      <c r="G53" s="213"/>
      <c r="H53" s="213"/>
      <c r="I53" s="213"/>
      <c r="J53" s="213"/>
      <c r="K53" s="213"/>
      <c r="L53" s="213"/>
      <c r="M53" s="213"/>
      <c r="N53" s="213"/>
      <c r="O53" s="214"/>
      <c r="P53" s="21" t="s">
        <v>11</v>
      </c>
      <c r="Q53" s="26">
        <f>SUM(Q49:Q52)</f>
        <v>233514</v>
      </c>
    </row>
    <row r="54" spans="2:17" s="14" customFormat="1" ht="15" customHeight="1" x14ac:dyDescent="0.2">
      <c r="B54" s="199"/>
      <c r="C54" s="209" t="s">
        <v>155</v>
      </c>
      <c r="D54" s="210"/>
      <c r="E54" s="210"/>
      <c r="F54" s="210"/>
      <c r="G54" s="210"/>
      <c r="H54" s="210"/>
      <c r="I54" s="210"/>
      <c r="J54" s="210"/>
      <c r="K54" s="210"/>
      <c r="L54" s="210"/>
      <c r="M54" s="210"/>
      <c r="N54" s="210"/>
      <c r="O54" s="211"/>
      <c r="P54" s="21" t="s">
        <v>11</v>
      </c>
      <c r="Q54" s="27">
        <f>IF(Q46&gt;500000,0,IF(Q53&lt;12501,Q53,12500))</f>
        <v>0</v>
      </c>
    </row>
    <row r="55" spans="2:17" s="14" customFormat="1" ht="15" customHeight="1" x14ac:dyDescent="0.2">
      <c r="B55" s="199"/>
      <c r="C55" s="212" t="s">
        <v>97</v>
      </c>
      <c r="D55" s="213"/>
      <c r="E55" s="213"/>
      <c r="F55" s="213"/>
      <c r="G55" s="213"/>
      <c r="H55" s="213"/>
      <c r="I55" s="213"/>
      <c r="J55" s="213"/>
      <c r="K55" s="213"/>
      <c r="L55" s="213"/>
      <c r="M55" s="213"/>
      <c r="N55" s="213"/>
      <c r="O55" s="214"/>
      <c r="P55" s="21" t="s">
        <v>11</v>
      </c>
      <c r="Q55" s="26">
        <f>Q53-Q54</f>
        <v>233514</v>
      </c>
    </row>
    <row r="56" spans="2:17" s="14" customFormat="1" ht="15" customHeight="1" x14ac:dyDescent="0.2">
      <c r="B56" s="199"/>
      <c r="C56" s="197" t="s">
        <v>148</v>
      </c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N56" s="197"/>
      <c r="O56" s="197"/>
      <c r="P56" s="21" t="s">
        <v>11</v>
      </c>
      <c r="Q56" s="27">
        <f>ROUND(Q55*0.04,0)</f>
        <v>9341</v>
      </c>
    </row>
    <row r="57" spans="2:17" s="14" customFormat="1" ht="15" customHeight="1" x14ac:dyDescent="0.2">
      <c r="B57" s="196"/>
      <c r="C57" s="198" t="s">
        <v>98</v>
      </c>
      <c r="D57" s="198"/>
      <c r="E57" s="198"/>
      <c r="F57" s="198"/>
      <c r="G57" s="198"/>
      <c r="H57" s="198"/>
      <c r="I57" s="198"/>
      <c r="J57" s="198"/>
      <c r="K57" s="198"/>
      <c r="L57" s="198"/>
      <c r="M57" s="198"/>
      <c r="N57" s="198"/>
      <c r="O57" s="198"/>
      <c r="P57" s="21" t="s">
        <v>11</v>
      </c>
      <c r="Q57" s="26">
        <f>SUM(Q55:Q56)</f>
        <v>242855</v>
      </c>
    </row>
    <row r="58" spans="2:17" s="14" customFormat="1" ht="15" customHeight="1" x14ac:dyDescent="0.2">
      <c r="B58" s="25">
        <v>17</v>
      </c>
      <c r="C58" s="168" t="s">
        <v>65</v>
      </c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70"/>
      <c r="P58" s="21" t="s">
        <v>11</v>
      </c>
      <c r="Q58" s="27">
        <f>'Other Deduction'!D17</f>
        <v>0</v>
      </c>
    </row>
    <row r="59" spans="2:17" s="14" customFormat="1" ht="15" customHeight="1" x14ac:dyDescent="0.2">
      <c r="B59" s="25">
        <v>18</v>
      </c>
      <c r="C59" s="179" t="s">
        <v>81</v>
      </c>
      <c r="D59" s="179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21" t="s">
        <v>11</v>
      </c>
      <c r="Q59" s="26">
        <f>Q57-Q58</f>
        <v>242855</v>
      </c>
    </row>
    <row r="60" spans="2:17" ht="42.6" customHeight="1" x14ac:dyDescent="0.2">
      <c r="B60" s="195">
        <v>19</v>
      </c>
      <c r="C60" s="183" t="s">
        <v>59</v>
      </c>
      <c r="D60" s="183"/>
      <c r="E60" s="184"/>
      <c r="F60" s="180" t="s">
        <v>220</v>
      </c>
      <c r="G60" s="180"/>
      <c r="H60" s="180"/>
      <c r="I60" s="180"/>
      <c r="J60" s="181" t="s">
        <v>221</v>
      </c>
      <c r="K60" s="182"/>
      <c r="L60" s="44" t="s">
        <v>222</v>
      </c>
      <c r="M60" s="181" t="s">
        <v>223</v>
      </c>
      <c r="N60" s="182"/>
      <c r="O60" s="44" t="s">
        <v>85</v>
      </c>
      <c r="P60" s="181" t="s">
        <v>142</v>
      </c>
      <c r="Q60" s="187"/>
    </row>
    <row r="61" spans="2:17" x14ac:dyDescent="0.2">
      <c r="B61" s="196"/>
      <c r="C61" s="185"/>
      <c r="D61" s="185"/>
      <c r="E61" s="186"/>
      <c r="F61" s="176">
        <f>SUM('GA-55'!Y5:Y11)</f>
        <v>0</v>
      </c>
      <c r="G61" s="176"/>
      <c r="H61" s="176"/>
      <c r="I61" s="176"/>
      <c r="J61" s="176">
        <f>SUM('GA-55'!Y12:Y14)</f>
        <v>0</v>
      </c>
      <c r="K61" s="176"/>
      <c r="L61" s="18">
        <f>'GA-55'!Y15</f>
        <v>0</v>
      </c>
      <c r="M61" s="176">
        <f>'GA-55'!Y16</f>
        <v>0</v>
      </c>
      <c r="N61" s="176"/>
      <c r="O61" s="45">
        <f>SUM('GA-55'!Y17:Y25)+'Other Deduction'!D18</f>
        <v>0</v>
      </c>
      <c r="P61" s="177">
        <f>F61+J61+L61+M61+O61</f>
        <v>0</v>
      </c>
      <c r="Q61" s="178"/>
    </row>
    <row r="62" spans="2:17" ht="16.5" thickBot="1" x14ac:dyDescent="0.25">
      <c r="B62" s="193" t="str">
        <f>IF(Q59&gt;P61,"Income Tax Payable",IF(Q59&lt;P61,"Income Tax Refundable","Income Tax Payble/Refundable"))</f>
        <v>Income Tax Payable</v>
      </c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31" t="s">
        <v>11</v>
      </c>
      <c r="Q62" s="32">
        <f>IF(Q59&gt;P61,Q59-P61,P61-Q59)</f>
        <v>242855</v>
      </c>
    </row>
    <row r="63" spans="2:17" x14ac:dyDescent="0.2"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5"/>
      <c r="Q63" s="36"/>
    </row>
    <row r="64" spans="2:17" x14ac:dyDescent="0.25"/>
    <row r="65" spans="1:18" x14ac:dyDescent="0.25">
      <c r="D65" s="121" t="s">
        <v>198</v>
      </c>
      <c r="O65" s="192" t="str">
        <f>MASTER!B4</f>
        <v>Employee Name</v>
      </c>
      <c r="P65" s="192"/>
      <c r="Q65" s="192"/>
    </row>
    <row r="66" spans="1:18" ht="15.75" customHeight="1" x14ac:dyDescent="0.25"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91" t="str">
        <f>"("&amp;MASTER!D4&amp;")"</f>
        <v>(Teacher)</v>
      </c>
      <c r="P66" s="191"/>
      <c r="Q66" s="191"/>
    </row>
    <row r="67" spans="1:18" ht="15.75" hidden="1" customHeight="1" x14ac:dyDescent="0.25"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</row>
    <row r="68" spans="1:18" ht="24" hidden="1" customHeight="1" x14ac:dyDescent="0.25">
      <c r="C68" s="122"/>
      <c r="D68" s="122"/>
      <c r="E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</row>
    <row r="69" spans="1:18" ht="15.75" hidden="1" customHeight="1" x14ac:dyDescent="0.25">
      <c r="L69" s="233"/>
      <c r="M69" s="233"/>
      <c r="N69" s="233"/>
      <c r="O69" s="233"/>
      <c r="P69" s="233"/>
      <c r="Q69" s="233"/>
    </row>
    <row r="70" spans="1:18" ht="15.75" hidden="1" customHeight="1" x14ac:dyDescent="0.25">
      <c r="L70" s="233"/>
      <c r="M70" s="233"/>
      <c r="N70" s="233"/>
      <c r="O70" s="233"/>
      <c r="P70" s="233"/>
      <c r="Q70" s="233"/>
    </row>
    <row r="71" spans="1:18" ht="15.75" hidden="1" customHeight="1" x14ac:dyDescent="0.25">
      <c r="L71" s="233"/>
      <c r="M71" s="233"/>
      <c r="N71" s="233"/>
      <c r="O71" s="233"/>
      <c r="P71" s="233"/>
      <c r="Q71" s="233"/>
    </row>
    <row r="72" spans="1:18" ht="15.75" hidden="1" customHeight="1" x14ac:dyDescent="0.25">
      <c r="L72" s="233"/>
      <c r="M72" s="233"/>
      <c r="N72" s="233"/>
      <c r="O72" s="233"/>
      <c r="P72" s="233"/>
      <c r="Q72" s="233"/>
    </row>
    <row r="73" spans="1:18" ht="15.75" hidden="1" customHeight="1" x14ac:dyDescent="0.25">
      <c r="L73" s="233"/>
      <c r="M73" s="233"/>
      <c r="N73" s="233"/>
      <c r="O73" s="233"/>
      <c r="P73" s="233"/>
      <c r="Q73" s="233"/>
    </row>
    <row r="74" spans="1:18" hidden="1" x14ac:dyDescent="0.25">
      <c r="D74" s="253"/>
      <c r="E74" s="253"/>
      <c r="F74" s="253"/>
      <c r="G74" s="253"/>
      <c r="H74" s="253"/>
      <c r="I74" s="253"/>
      <c r="J74" s="253"/>
      <c r="L74" s="233"/>
      <c r="M74" s="233"/>
      <c r="N74" s="233"/>
      <c r="O74" s="233"/>
      <c r="P74" s="233"/>
      <c r="Q74" s="233"/>
    </row>
    <row r="75" spans="1:18" hidden="1" x14ac:dyDescent="0.25">
      <c r="L75" s="233"/>
      <c r="M75" s="233"/>
      <c r="N75" s="233"/>
      <c r="O75" s="233"/>
      <c r="P75" s="233"/>
      <c r="Q75" s="233"/>
    </row>
    <row r="76" spans="1:18" hidden="1" x14ac:dyDescent="0.25">
      <c r="A76" s="39"/>
      <c r="B76" s="40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2"/>
      <c r="Q76" s="43"/>
      <c r="R76" s="39"/>
    </row>
    <row r="77" spans="1:18" hidden="1" x14ac:dyDescent="0.25">
      <c r="A77" s="39"/>
      <c r="B77" s="40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2"/>
      <c r="Q77" s="43"/>
      <c r="R77" s="39"/>
    </row>
    <row r="78" spans="1:18" hidden="1" x14ac:dyDescent="0.25">
      <c r="A78" s="39"/>
      <c r="B78" s="40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2"/>
      <c r="Q78" s="43"/>
      <c r="R78" s="39"/>
    </row>
  </sheetData>
  <sheetProtection algorithmName="SHA-512" hashValue="hh8ADwW96jRwDTcZQzRsmjUwrDx2SBrne9crjd2A/BS9kFcbkAPBlfvby6EBUbVnGNT4n+plo7KyUwufymnbtw==" saltValue="wKtGzUO/VdVeR5Eb/JJC8w==" spinCount="10000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C53:O53"/>
    <mergeCell ref="C11:J11"/>
    <mergeCell ref="K11:L11"/>
    <mergeCell ref="E13:G13"/>
    <mergeCell ref="E12:G12"/>
    <mergeCell ref="C12:D13"/>
    <mergeCell ref="D74:J74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4:O44"/>
    <mergeCell ref="L69:Q75"/>
    <mergeCell ref="C33:O33"/>
    <mergeCell ref="B34:B43"/>
    <mergeCell ref="C34:Q34"/>
    <mergeCell ref="C35:O3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B7:B9"/>
    <mergeCell ref="M8:O8"/>
    <mergeCell ref="C8:L8"/>
    <mergeCell ref="P7:Q8"/>
    <mergeCell ref="E3:H3"/>
    <mergeCell ref="J3:K3"/>
    <mergeCell ref="M3:N3"/>
    <mergeCell ref="B11:B13"/>
    <mergeCell ref="C54:O54"/>
    <mergeCell ref="C55:O55"/>
    <mergeCell ref="B18:B33"/>
    <mergeCell ref="C18:Q18"/>
    <mergeCell ref="C19:Q19"/>
    <mergeCell ref="D20:G20"/>
    <mergeCell ref="K20:M20"/>
    <mergeCell ref="D21:G21"/>
    <mergeCell ref="K21:M21"/>
    <mergeCell ref="C29:M29"/>
    <mergeCell ref="K28:M28"/>
    <mergeCell ref="P20:Q29"/>
    <mergeCell ref="D22:G22"/>
    <mergeCell ref="K22:M22"/>
    <mergeCell ref="D23:G23"/>
    <mergeCell ref="K23:M23"/>
    <mergeCell ref="D24:G24"/>
    <mergeCell ref="K24:M24"/>
    <mergeCell ref="D25:G25"/>
    <mergeCell ref="K25:M25"/>
    <mergeCell ref="C31:O31"/>
    <mergeCell ref="C30:O30"/>
    <mergeCell ref="D28:G28"/>
    <mergeCell ref="C32:O32"/>
    <mergeCell ref="O66:Q66"/>
    <mergeCell ref="O65:Q65"/>
    <mergeCell ref="F50:G50"/>
    <mergeCell ref="C45:O45"/>
    <mergeCell ref="C46:O46"/>
    <mergeCell ref="F49:G49"/>
    <mergeCell ref="H49:J49"/>
    <mergeCell ref="L49:N49"/>
    <mergeCell ref="B62:O62"/>
    <mergeCell ref="B60:B61"/>
    <mergeCell ref="C56:O56"/>
    <mergeCell ref="C57:O57"/>
    <mergeCell ref="B47:B57"/>
    <mergeCell ref="C47:Q47"/>
    <mergeCell ref="C48:G48"/>
    <mergeCell ref="H48:K48"/>
    <mergeCell ref="L48:O48"/>
    <mergeCell ref="C51:E51"/>
    <mergeCell ref="C52:E52"/>
    <mergeCell ref="C49:E49"/>
    <mergeCell ref="C50:E50"/>
    <mergeCell ref="F51:G51"/>
    <mergeCell ref="H51:J51"/>
    <mergeCell ref="M61:N61"/>
    <mergeCell ref="P61:Q61"/>
    <mergeCell ref="C58:O58"/>
    <mergeCell ref="C59:O59"/>
    <mergeCell ref="F60:I60"/>
    <mergeCell ref="J60:K60"/>
    <mergeCell ref="M60:N60"/>
    <mergeCell ref="C60:E61"/>
    <mergeCell ref="P60:Q60"/>
    <mergeCell ref="F61:I61"/>
    <mergeCell ref="J61:K61"/>
    <mergeCell ref="C36:O36"/>
    <mergeCell ref="C37:O37"/>
    <mergeCell ref="C38:O38"/>
    <mergeCell ref="C39:O39"/>
    <mergeCell ref="C40:O40"/>
    <mergeCell ref="C43:O43"/>
    <mergeCell ref="C41:O41"/>
    <mergeCell ref="C42:O42"/>
    <mergeCell ref="H52:J52"/>
    <mergeCell ref="L52:N52"/>
    <mergeCell ref="F52:G52"/>
    <mergeCell ref="H50:J50"/>
    <mergeCell ref="L50:N50"/>
    <mergeCell ref="L51:N51"/>
  </mergeCells>
  <hyperlinks>
    <hyperlink ref="D65" r:id="rId3"/>
  </hyperlink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85"/>
  <sheetViews>
    <sheetView showGridLines="0" view="pageBreakPreview" topLeftCell="A22" zoomScaleSheetLayoutView="100" workbookViewId="0">
      <selection activeCell="C10" sqref="C10:O10"/>
    </sheetView>
  </sheetViews>
  <sheetFormatPr defaultColWidth="0" defaultRowHeight="15.6" customHeight="1" zeroHeight="1" x14ac:dyDescent="0.25"/>
  <cols>
    <col min="1" max="1" width="3" customWidth="1" collapsed="1"/>
    <col min="2" max="2" width="4.42578125" style="8" customWidth="1" collapsed="1"/>
    <col min="3" max="3" width="4.5703125" style="9" customWidth="1" collapsed="1"/>
    <col min="4" max="5" width="9.140625" style="9" customWidth="1" collapsed="1"/>
    <col min="6" max="6" width="3.85546875" style="9" customWidth="1" collapsed="1"/>
    <col min="7" max="7" width="5.140625" style="9" customWidth="1" collapsed="1"/>
    <col min="8" max="8" width="3.28515625" style="9" customWidth="1" collapsed="1"/>
    <col min="9" max="9" width="10.5703125" style="9" customWidth="1" collapsed="1"/>
    <col min="10" max="10" width="7.140625" style="9" customWidth="1" collapsed="1"/>
    <col min="11" max="11" width="10.28515625" style="9" customWidth="1" collapsed="1"/>
    <col min="12" max="12" width="11.42578125" style="9" customWidth="1" collapsed="1"/>
    <col min="13" max="13" width="9.42578125" style="9" customWidth="1" collapsed="1"/>
    <col min="14" max="14" width="3.85546875" style="9" customWidth="1" collapsed="1"/>
    <col min="15" max="15" width="11.85546875" style="9" customWidth="1" collapsed="1"/>
    <col min="16" max="16" width="3.5703125" style="10" customWidth="1" collapsed="1"/>
    <col min="17" max="17" width="16.140625" style="11" customWidth="1" collapsed="1"/>
    <col min="18" max="18" width="2.42578125" customWidth="1" collapsed="1"/>
    <col min="19" max="16384" width="9.140625" hidden="1" collapsed="1"/>
  </cols>
  <sheetData>
    <row r="1" spans="2:17" s="14" customFormat="1" ht="18.75" x14ac:dyDescent="0.2">
      <c r="B1" s="234" t="str">
        <f>'GA-55'!B1</f>
        <v>GSSS</v>
      </c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</row>
    <row r="2" spans="2:17" s="14" customFormat="1" ht="21" thickBot="1" x14ac:dyDescent="0.25">
      <c r="B2" s="235" t="s">
        <v>224</v>
      </c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</row>
    <row r="3" spans="2:17" s="14" customFormat="1" ht="15" customHeight="1" x14ac:dyDescent="0.2">
      <c r="B3" s="33">
        <v>1</v>
      </c>
      <c r="C3" s="163" t="s">
        <v>10</v>
      </c>
      <c r="D3" s="163"/>
      <c r="E3" s="260" t="str">
        <f>MASTER!B4</f>
        <v>Employee Name</v>
      </c>
      <c r="F3" s="261"/>
      <c r="G3" s="261"/>
      <c r="H3" s="262"/>
      <c r="I3" s="131" t="s">
        <v>28</v>
      </c>
      <c r="J3" s="259" t="str">
        <f>MASTER!D4</f>
        <v>Teacher</v>
      </c>
      <c r="K3" s="259"/>
      <c r="L3" s="134" t="s">
        <v>206</v>
      </c>
      <c r="M3" s="259">
        <f>MASTER!D6</f>
        <v>0</v>
      </c>
      <c r="N3" s="259"/>
      <c r="O3" s="135" t="s">
        <v>27</v>
      </c>
      <c r="P3" s="259" t="str">
        <f>MASTER!B5</f>
        <v>AAAAAXXXXA</v>
      </c>
      <c r="Q3" s="259"/>
    </row>
    <row r="4" spans="2:17" s="14" customFormat="1" ht="15" customHeight="1" x14ac:dyDescent="0.2">
      <c r="B4" s="25">
        <v>2</v>
      </c>
      <c r="C4" s="237" t="s">
        <v>219</v>
      </c>
      <c r="D4" s="237"/>
      <c r="E4" s="163"/>
      <c r="F4" s="163"/>
      <c r="G4" s="163"/>
      <c r="H4" s="163"/>
      <c r="I4" s="163"/>
      <c r="J4" s="163"/>
      <c r="K4" s="237"/>
      <c r="L4" s="163"/>
      <c r="M4" s="163"/>
      <c r="N4" s="163"/>
      <c r="O4" s="237"/>
      <c r="P4" s="127" t="s">
        <v>11</v>
      </c>
      <c r="Q4" s="26">
        <f>'GA-55'!O26</f>
        <v>1603379</v>
      </c>
    </row>
    <row r="5" spans="2:17" s="14" customFormat="1" ht="15" customHeight="1" x14ac:dyDescent="0.2">
      <c r="B5" s="195">
        <v>3</v>
      </c>
      <c r="C5" s="163" t="s">
        <v>30</v>
      </c>
      <c r="D5" s="163"/>
      <c r="E5" s="163"/>
      <c r="F5" s="163"/>
      <c r="G5" s="163"/>
      <c r="H5" s="163"/>
      <c r="I5" s="163"/>
      <c r="J5" s="163"/>
      <c r="K5" s="238" t="s">
        <v>31</v>
      </c>
      <c r="L5" s="238"/>
      <c r="M5" s="239">
        <v>0</v>
      </c>
      <c r="N5" s="239"/>
      <c r="O5" s="239"/>
      <c r="P5" s="238"/>
      <c r="Q5" s="263"/>
    </row>
    <row r="6" spans="2:17" s="14" customFormat="1" ht="46.5" customHeight="1" x14ac:dyDescent="0.2">
      <c r="B6" s="199"/>
      <c r="C6" s="249" t="s">
        <v>32</v>
      </c>
      <c r="D6" s="250"/>
      <c r="E6" s="246" t="s">
        <v>240</v>
      </c>
      <c r="F6" s="247"/>
      <c r="G6" s="248"/>
      <c r="H6" s="264" t="s">
        <v>238</v>
      </c>
      <c r="I6" s="256"/>
      <c r="J6" s="256"/>
      <c r="K6" s="238" t="s">
        <v>33</v>
      </c>
      <c r="L6" s="238"/>
      <c r="M6" s="238" t="s">
        <v>239</v>
      </c>
      <c r="N6" s="238"/>
      <c r="O6" s="238"/>
      <c r="P6" s="238"/>
      <c r="Q6" s="263"/>
    </row>
    <row r="7" spans="2:17" s="14" customFormat="1" ht="15" customHeight="1" x14ac:dyDescent="0.2">
      <c r="B7" s="199"/>
      <c r="C7" s="251"/>
      <c r="D7" s="252"/>
      <c r="E7" s="243">
        <f>ROUND(M5*0.3,0)</f>
        <v>0</v>
      </c>
      <c r="F7" s="244"/>
      <c r="G7" s="245"/>
      <c r="H7" s="239">
        <v>0</v>
      </c>
      <c r="I7" s="239"/>
      <c r="J7" s="239"/>
      <c r="K7" s="239">
        <f>'Other Deduction'!B7</f>
        <v>0</v>
      </c>
      <c r="L7" s="239"/>
      <c r="M7" s="239">
        <f>E7+H7+K7</f>
        <v>0</v>
      </c>
      <c r="N7" s="239"/>
      <c r="O7" s="239"/>
      <c r="P7" s="238"/>
      <c r="Q7" s="263"/>
    </row>
    <row r="8" spans="2:17" s="14" customFormat="1" ht="15" customHeight="1" x14ac:dyDescent="0.2">
      <c r="B8" s="196"/>
      <c r="C8" s="238" t="s">
        <v>236</v>
      </c>
      <c r="D8" s="238"/>
      <c r="E8" s="238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127" t="s">
        <v>11</v>
      </c>
      <c r="Q8" s="27">
        <f>M7-M5</f>
        <v>0</v>
      </c>
    </row>
    <row r="9" spans="2:17" s="14" customFormat="1" ht="15" customHeight="1" x14ac:dyDescent="0.2">
      <c r="B9" s="25">
        <v>4</v>
      </c>
      <c r="C9" s="238" t="s">
        <v>237</v>
      </c>
      <c r="D9" s="238"/>
      <c r="E9" s="238"/>
      <c r="F9" s="238"/>
      <c r="G9" s="238"/>
      <c r="H9" s="238"/>
      <c r="I9" s="238"/>
      <c r="J9" s="238"/>
      <c r="K9" s="238"/>
      <c r="L9" s="238"/>
      <c r="M9" s="238"/>
      <c r="N9" s="238"/>
      <c r="O9" s="238"/>
      <c r="P9" s="127" t="s">
        <v>11</v>
      </c>
      <c r="Q9" s="27">
        <f>Q4+Q8</f>
        <v>1603379</v>
      </c>
    </row>
    <row r="10" spans="2:17" s="14" customFormat="1" ht="15" customHeight="1" x14ac:dyDescent="0.2">
      <c r="B10" s="25">
        <v>5</v>
      </c>
      <c r="C10" s="163" t="s">
        <v>26</v>
      </c>
      <c r="D10" s="163"/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27" t="s">
        <v>11</v>
      </c>
      <c r="Q10" s="27">
        <f>'Other Deduction'!D3+'Other Deduction'!D4</f>
        <v>0</v>
      </c>
    </row>
    <row r="11" spans="2:17" s="14" customFormat="1" ht="15" customHeight="1" x14ac:dyDescent="0.2">
      <c r="B11" s="25">
        <v>6</v>
      </c>
      <c r="C11" s="163" t="s">
        <v>235</v>
      </c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27" t="s">
        <v>11</v>
      </c>
      <c r="Q11" s="26">
        <f>Q9+Q10</f>
        <v>1603379</v>
      </c>
    </row>
    <row r="12" spans="2:17" s="14" customFormat="1" ht="15" customHeight="1" x14ac:dyDescent="0.2">
      <c r="B12" s="130">
        <v>7</v>
      </c>
      <c r="C12" s="163" t="s">
        <v>230</v>
      </c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200"/>
    </row>
    <row r="13" spans="2:17" s="14" customFormat="1" ht="15" customHeight="1" x14ac:dyDescent="0.2">
      <c r="B13" s="133"/>
      <c r="C13" s="168" t="s">
        <v>233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  <c r="N13" s="169"/>
      <c r="O13" s="170"/>
      <c r="P13" s="128"/>
      <c r="Q13" s="47">
        <v>75000</v>
      </c>
    </row>
    <row r="14" spans="2:17" s="14" customFormat="1" ht="15" customHeight="1" x14ac:dyDescent="0.2">
      <c r="B14" s="133"/>
      <c r="C14" s="230" t="s">
        <v>241</v>
      </c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2"/>
      <c r="P14" s="127"/>
      <c r="Q14" s="47">
        <v>0</v>
      </c>
    </row>
    <row r="15" spans="2:17" s="14" customFormat="1" ht="15" customHeight="1" x14ac:dyDescent="0.2">
      <c r="B15" s="133"/>
      <c r="C15" s="238" t="s">
        <v>234</v>
      </c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127"/>
      <c r="Q15" s="47">
        <f>SUM(Q13:Q14)</f>
        <v>75000</v>
      </c>
    </row>
    <row r="16" spans="2:17" s="14" customFormat="1" ht="15" customHeight="1" x14ac:dyDescent="0.2">
      <c r="B16" s="25">
        <v>8</v>
      </c>
      <c r="C16" s="163" t="s">
        <v>242</v>
      </c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27" t="s">
        <v>11</v>
      </c>
      <c r="Q16" s="27">
        <f>Q11-Q15</f>
        <v>1528379</v>
      </c>
    </row>
    <row r="17" spans="2:17" s="14" customFormat="1" ht="15.75" x14ac:dyDescent="0.2">
      <c r="B17" s="25">
        <v>9</v>
      </c>
      <c r="C17" s="163" t="s">
        <v>243</v>
      </c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27" t="s">
        <v>11</v>
      </c>
      <c r="Q17" s="26">
        <f>ROUND(Q16,-1)</f>
        <v>1528380</v>
      </c>
    </row>
    <row r="18" spans="2:17" s="14" customFormat="1" ht="15" customHeight="1" x14ac:dyDescent="0.2">
      <c r="B18" s="195">
        <v>10</v>
      </c>
      <c r="C18" s="163" t="s">
        <v>55</v>
      </c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200"/>
    </row>
    <row r="19" spans="2:17" s="14" customFormat="1" ht="15" customHeight="1" x14ac:dyDescent="0.2">
      <c r="B19" s="199"/>
      <c r="C19" s="270" t="s">
        <v>78</v>
      </c>
      <c r="D19" s="270"/>
      <c r="E19" s="270"/>
      <c r="F19" s="270"/>
      <c r="G19" s="270"/>
      <c r="H19" s="270" t="s">
        <v>94</v>
      </c>
      <c r="I19" s="270"/>
      <c r="J19" s="270"/>
      <c r="K19" s="270"/>
      <c r="L19" s="271" t="s">
        <v>110</v>
      </c>
      <c r="M19" s="272"/>
      <c r="N19" s="272"/>
      <c r="O19" s="273"/>
      <c r="P19" s="136"/>
      <c r="Q19" s="29"/>
    </row>
    <row r="20" spans="2:17" s="14" customFormat="1" ht="15" customHeight="1" x14ac:dyDescent="0.2">
      <c r="B20" s="199"/>
      <c r="C20" s="265" t="s">
        <v>244</v>
      </c>
      <c r="D20" s="266"/>
      <c r="E20" s="267"/>
      <c r="F20" s="268" t="s">
        <v>56</v>
      </c>
      <c r="G20" s="268"/>
      <c r="H20" s="265" t="s">
        <v>244</v>
      </c>
      <c r="I20" s="266"/>
      <c r="J20" s="267"/>
      <c r="K20" s="18" t="s">
        <v>56</v>
      </c>
      <c r="L20" s="265" t="s">
        <v>244</v>
      </c>
      <c r="M20" s="266"/>
      <c r="N20" s="267"/>
      <c r="O20" s="18" t="s">
        <v>56</v>
      </c>
      <c r="P20" s="127" t="s">
        <v>11</v>
      </c>
      <c r="Q20" s="30">
        <v>0</v>
      </c>
    </row>
    <row r="21" spans="2:17" s="14" customFormat="1" ht="15" customHeight="1" x14ac:dyDescent="0.2">
      <c r="B21" s="199"/>
      <c r="C21" s="265" t="s">
        <v>225</v>
      </c>
      <c r="D21" s="266"/>
      <c r="E21" s="267"/>
      <c r="F21" s="269">
        <v>0.05</v>
      </c>
      <c r="G21" s="268"/>
      <c r="H21" s="265" t="s">
        <v>225</v>
      </c>
      <c r="I21" s="266"/>
      <c r="J21" s="267"/>
      <c r="K21" s="137">
        <v>0.05</v>
      </c>
      <c r="L21" s="265" t="s">
        <v>225</v>
      </c>
      <c r="M21" s="266"/>
      <c r="N21" s="267"/>
      <c r="O21" s="137">
        <v>0.05</v>
      </c>
      <c r="P21" s="127" t="s">
        <v>11</v>
      </c>
      <c r="Q21" s="30">
        <f>ROUND(IF(Q17&gt;800000,20000,((Q17-400000)*0.05)),0)</f>
        <v>20000</v>
      </c>
    </row>
    <row r="22" spans="2:17" s="14" customFormat="1" ht="15" customHeight="1" x14ac:dyDescent="0.2">
      <c r="B22" s="199"/>
      <c r="C22" s="265" t="s">
        <v>226</v>
      </c>
      <c r="D22" s="266"/>
      <c r="E22" s="267"/>
      <c r="F22" s="269">
        <v>0.1</v>
      </c>
      <c r="G22" s="268"/>
      <c r="H22" s="265" t="s">
        <v>226</v>
      </c>
      <c r="I22" s="266"/>
      <c r="J22" s="267"/>
      <c r="K22" s="137">
        <v>0.1</v>
      </c>
      <c r="L22" s="265" t="s">
        <v>226</v>
      </c>
      <c r="M22" s="266"/>
      <c r="N22" s="267"/>
      <c r="O22" s="137">
        <v>0.1</v>
      </c>
      <c r="P22" s="127" t="s">
        <v>11</v>
      </c>
      <c r="Q22" s="30">
        <f>IF(Q17&lt;800001,0,IF(Q17&gt;1200000,40000,((Q17-800000)*0.1)))</f>
        <v>40000</v>
      </c>
    </row>
    <row r="23" spans="2:17" s="14" customFormat="1" ht="15" customHeight="1" x14ac:dyDescent="0.2">
      <c r="B23" s="199"/>
      <c r="C23" s="265" t="s">
        <v>227</v>
      </c>
      <c r="D23" s="266"/>
      <c r="E23" s="267"/>
      <c r="F23" s="269">
        <v>0.15</v>
      </c>
      <c r="G23" s="268"/>
      <c r="H23" s="265" t="s">
        <v>227</v>
      </c>
      <c r="I23" s="266"/>
      <c r="J23" s="267"/>
      <c r="K23" s="137">
        <v>0.15</v>
      </c>
      <c r="L23" s="265" t="s">
        <v>227</v>
      </c>
      <c r="M23" s="266"/>
      <c r="N23" s="267"/>
      <c r="O23" s="137">
        <v>0.15</v>
      </c>
      <c r="P23" s="127" t="s">
        <v>11</v>
      </c>
      <c r="Q23" s="30">
        <f>IF(Q17&lt;1200001,0,IF(Q17&gt;1600000,60000,((Q17-1200000)*0.15)))</f>
        <v>49257</v>
      </c>
    </row>
    <row r="24" spans="2:17" s="14" customFormat="1" ht="15" customHeight="1" x14ac:dyDescent="0.2">
      <c r="B24" s="199"/>
      <c r="C24" s="265" t="s">
        <v>228</v>
      </c>
      <c r="D24" s="266"/>
      <c r="E24" s="267"/>
      <c r="F24" s="269">
        <v>0.2</v>
      </c>
      <c r="G24" s="268"/>
      <c r="H24" s="265" t="s">
        <v>228</v>
      </c>
      <c r="I24" s="266"/>
      <c r="J24" s="267"/>
      <c r="K24" s="137">
        <v>0.2</v>
      </c>
      <c r="L24" s="265" t="s">
        <v>228</v>
      </c>
      <c r="M24" s="266"/>
      <c r="N24" s="267"/>
      <c r="O24" s="137">
        <v>0.2</v>
      </c>
      <c r="P24" s="127" t="s">
        <v>11</v>
      </c>
      <c r="Q24" s="30">
        <f>IF(Q17&lt;1600001,0,IF(Q17&gt;2000000,80000,((Q17-1600000)*0.2)))</f>
        <v>0</v>
      </c>
    </row>
    <row r="25" spans="2:17" s="14" customFormat="1" ht="15" customHeight="1" x14ac:dyDescent="0.2">
      <c r="B25" s="199"/>
      <c r="C25" s="265" t="s">
        <v>229</v>
      </c>
      <c r="D25" s="266"/>
      <c r="E25" s="267"/>
      <c r="F25" s="277">
        <v>0.25</v>
      </c>
      <c r="G25" s="278"/>
      <c r="H25" s="265" t="s">
        <v>229</v>
      </c>
      <c r="I25" s="266"/>
      <c r="J25" s="267"/>
      <c r="K25" s="137">
        <v>0.25</v>
      </c>
      <c r="L25" s="265" t="s">
        <v>229</v>
      </c>
      <c r="M25" s="266"/>
      <c r="N25" s="267"/>
      <c r="O25" s="137">
        <v>0.25</v>
      </c>
      <c r="P25" s="127" t="s">
        <v>11</v>
      </c>
      <c r="Q25" s="30">
        <f>IF(Q18&lt;2000001,0,IF(Q18&gt;2500000,125000,((Q18-2000000)*0.25)))</f>
        <v>0</v>
      </c>
    </row>
    <row r="26" spans="2:17" s="14" customFormat="1" ht="15" customHeight="1" x14ac:dyDescent="0.2">
      <c r="B26" s="199"/>
      <c r="C26" s="274" t="s">
        <v>245</v>
      </c>
      <c r="D26" s="275"/>
      <c r="E26" s="276"/>
      <c r="F26" s="269">
        <v>0.3</v>
      </c>
      <c r="G26" s="268"/>
      <c r="H26" s="274" t="s">
        <v>245</v>
      </c>
      <c r="I26" s="275"/>
      <c r="J26" s="276"/>
      <c r="K26" s="137">
        <v>0.3</v>
      </c>
      <c r="L26" s="274" t="s">
        <v>245</v>
      </c>
      <c r="M26" s="275"/>
      <c r="N26" s="276"/>
      <c r="O26" s="137">
        <v>0.3</v>
      </c>
      <c r="P26" s="127" t="s">
        <v>11</v>
      </c>
      <c r="Q26" s="30">
        <f>IF(Q17&lt;2500001,0,(Q17-2500000)*0.3)</f>
        <v>0</v>
      </c>
    </row>
    <row r="27" spans="2:17" s="14" customFormat="1" ht="15" customHeight="1" x14ac:dyDescent="0.2">
      <c r="B27" s="199"/>
      <c r="C27" s="209" t="s">
        <v>64</v>
      </c>
      <c r="D27" s="210"/>
      <c r="E27" s="210"/>
      <c r="F27" s="210"/>
      <c r="G27" s="210"/>
      <c r="H27" s="210"/>
      <c r="I27" s="210"/>
      <c r="J27" s="210"/>
      <c r="K27" s="210"/>
      <c r="L27" s="210"/>
      <c r="M27" s="210"/>
      <c r="N27" s="210"/>
      <c r="O27" s="211"/>
      <c r="P27" s="127" t="s">
        <v>11</v>
      </c>
      <c r="Q27" s="26">
        <f>SUM(Q20:Q26)</f>
        <v>109257</v>
      </c>
    </row>
    <row r="28" spans="2:17" s="14" customFormat="1" ht="15" customHeight="1" x14ac:dyDescent="0.2">
      <c r="B28" s="199"/>
      <c r="C28" s="209" t="s">
        <v>246</v>
      </c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1"/>
      <c r="P28" s="127" t="s">
        <v>11</v>
      </c>
      <c r="Q28" s="27">
        <f>IF(Q17&lt;1200001,Q27,IF(Q17&gt;1275000,0,Q27-(Q17-1200000)))</f>
        <v>0</v>
      </c>
    </row>
    <row r="29" spans="2:17" s="14" customFormat="1" ht="15" customHeight="1" x14ac:dyDescent="0.2">
      <c r="B29" s="199"/>
      <c r="C29" s="209" t="s">
        <v>97</v>
      </c>
      <c r="D29" s="210"/>
      <c r="E29" s="210"/>
      <c r="F29" s="210"/>
      <c r="G29" s="210"/>
      <c r="H29" s="210"/>
      <c r="I29" s="210"/>
      <c r="J29" s="210"/>
      <c r="K29" s="210"/>
      <c r="L29" s="210"/>
      <c r="M29" s="210"/>
      <c r="N29" s="210"/>
      <c r="O29" s="211"/>
      <c r="P29" s="127" t="s">
        <v>11</v>
      </c>
      <c r="Q29" s="26">
        <f>Q27-Q28</f>
        <v>109257</v>
      </c>
    </row>
    <row r="30" spans="2:17" s="14" customFormat="1" ht="15" customHeight="1" x14ac:dyDescent="0.2">
      <c r="B30" s="199"/>
      <c r="C30" s="281" t="s">
        <v>247</v>
      </c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127" t="s">
        <v>11</v>
      </c>
      <c r="Q30" s="27">
        <f>ROUND(Q29*0.04,0)</f>
        <v>4370</v>
      </c>
    </row>
    <row r="31" spans="2:17" s="14" customFormat="1" ht="15" customHeight="1" x14ac:dyDescent="0.2">
      <c r="B31" s="196"/>
      <c r="C31" s="198" t="s">
        <v>98</v>
      </c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27" t="s">
        <v>11</v>
      </c>
      <c r="Q31" s="26">
        <f>SUM(Q29:Q30)</f>
        <v>113627</v>
      </c>
    </row>
    <row r="32" spans="2:17" s="14" customFormat="1" ht="15" customHeight="1" x14ac:dyDescent="0.2">
      <c r="B32" s="25">
        <v>11</v>
      </c>
      <c r="C32" s="168" t="s">
        <v>248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70"/>
      <c r="P32" s="127" t="s">
        <v>11</v>
      </c>
      <c r="Q32" s="27">
        <f>'Other Deduction'!D17</f>
        <v>0</v>
      </c>
    </row>
    <row r="33" spans="2:17" s="14" customFormat="1" ht="15" customHeight="1" x14ac:dyDescent="0.2">
      <c r="B33" s="25">
        <v>12</v>
      </c>
      <c r="C33" s="179" t="s">
        <v>81</v>
      </c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27" t="s">
        <v>11</v>
      </c>
      <c r="Q33" s="26">
        <f>Q31-Q32</f>
        <v>113627</v>
      </c>
    </row>
    <row r="34" spans="2:17" ht="42.6" customHeight="1" x14ac:dyDescent="0.2">
      <c r="B34" s="195">
        <v>13</v>
      </c>
      <c r="C34" s="183" t="s">
        <v>59</v>
      </c>
      <c r="D34" s="183"/>
      <c r="E34" s="184"/>
      <c r="F34" s="180" t="s">
        <v>220</v>
      </c>
      <c r="G34" s="180"/>
      <c r="H34" s="180"/>
      <c r="I34" s="180"/>
      <c r="J34" s="181" t="s">
        <v>221</v>
      </c>
      <c r="K34" s="182"/>
      <c r="L34" s="129" t="s">
        <v>231</v>
      </c>
      <c r="M34" s="181" t="s">
        <v>232</v>
      </c>
      <c r="N34" s="182"/>
      <c r="O34" s="129" t="s">
        <v>85</v>
      </c>
      <c r="P34" s="181" t="s">
        <v>142</v>
      </c>
      <c r="Q34" s="187"/>
    </row>
    <row r="35" spans="2:17" ht="15.75" x14ac:dyDescent="0.2">
      <c r="B35" s="196"/>
      <c r="C35" s="185"/>
      <c r="D35" s="185"/>
      <c r="E35" s="186"/>
      <c r="F35" s="176">
        <f>SUM('GA-55'!Y5:Y11)</f>
        <v>0</v>
      </c>
      <c r="G35" s="176"/>
      <c r="H35" s="176"/>
      <c r="I35" s="176"/>
      <c r="J35" s="176">
        <f>SUM('GA-55'!Y12:Y14)</f>
        <v>0</v>
      </c>
      <c r="K35" s="176"/>
      <c r="L35" s="18">
        <f>'GA-55'!Y15</f>
        <v>0</v>
      </c>
      <c r="M35" s="176">
        <f>'GA-55'!Y16</f>
        <v>0</v>
      </c>
      <c r="N35" s="176"/>
      <c r="O35" s="45">
        <f>SUM('GA-55'!Y17:Y25)+'Other Deduction'!D18</f>
        <v>0</v>
      </c>
      <c r="P35" s="177">
        <f>F35+J35+L35+M35+O35</f>
        <v>0</v>
      </c>
      <c r="Q35" s="178"/>
    </row>
    <row r="36" spans="2:17" ht="16.5" thickBot="1" x14ac:dyDescent="0.25">
      <c r="B36" s="279" t="str">
        <f>IF(Q33&gt;P35,"Income Tax Payable",IF(Q33&lt;P35,"Income Tax Refundable","Income Tax Payble/Refundable"))</f>
        <v>Income Tax Payable</v>
      </c>
      <c r="C36" s="280"/>
      <c r="D36" s="280"/>
      <c r="E36" s="280"/>
      <c r="F36" s="280"/>
      <c r="G36" s="280"/>
      <c r="H36" s="280"/>
      <c r="I36" s="280"/>
      <c r="J36" s="280"/>
      <c r="K36" s="280"/>
      <c r="L36" s="280"/>
      <c r="M36" s="280"/>
      <c r="N36" s="280"/>
      <c r="O36" s="280"/>
      <c r="P36" s="31" t="s">
        <v>11</v>
      </c>
      <c r="Q36" s="32">
        <f>IF(Q33&gt;P35,Q33-P35,P35-Q33)</f>
        <v>113627</v>
      </c>
    </row>
    <row r="37" spans="2:17" ht="15.75" x14ac:dyDescent="0.2"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35"/>
      <c r="Q37" s="36"/>
    </row>
    <row r="38" spans="2:17" ht="15.75" x14ac:dyDescent="0.2"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35"/>
      <c r="Q38" s="36"/>
    </row>
    <row r="39" spans="2:17" ht="15.75" x14ac:dyDescent="0.25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139"/>
      <c r="Q39" s="140"/>
    </row>
    <row r="40" spans="2:17" ht="15.75" x14ac:dyDescent="0.25">
      <c r="C40" s="8"/>
      <c r="D40" s="141" t="s">
        <v>198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257" t="str">
        <f>MASTER!B4</f>
        <v>Employee Name</v>
      </c>
      <c r="P40" s="257"/>
      <c r="Q40" s="257"/>
    </row>
    <row r="41" spans="2:17" ht="15.75" customHeight="1" x14ac:dyDescent="0.25">
      <c r="C41" s="142"/>
      <c r="D41" s="142"/>
      <c r="E41" s="142"/>
      <c r="F41" s="142"/>
      <c r="G41" s="142"/>
      <c r="H41" s="142"/>
      <c r="I41" s="142"/>
      <c r="J41" s="142"/>
      <c r="K41" s="142"/>
      <c r="L41" s="142"/>
      <c r="M41" s="142"/>
      <c r="N41" s="142"/>
      <c r="O41" s="258" t="str">
        <f>MASTER!D4</f>
        <v>Teacher</v>
      </c>
      <c r="P41" s="258"/>
      <c r="Q41" s="258"/>
    </row>
    <row r="42" spans="2:17" ht="15.75" hidden="1" customHeight="1" x14ac:dyDescent="0.25"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</row>
    <row r="43" spans="2:17" ht="24" hidden="1" customHeight="1" x14ac:dyDescent="0.25"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</row>
    <row r="44" spans="2:17" ht="15.75" hidden="1" customHeight="1" x14ac:dyDescent="0.25">
      <c r="L44" s="233"/>
      <c r="M44" s="233"/>
      <c r="N44" s="233"/>
      <c r="O44" s="233"/>
      <c r="P44" s="233"/>
      <c r="Q44" s="233"/>
    </row>
    <row r="45" spans="2:17" ht="15.75" hidden="1" customHeight="1" x14ac:dyDescent="0.25">
      <c r="L45" s="233"/>
      <c r="M45" s="233"/>
      <c r="N45" s="233"/>
      <c r="O45" s="233"/>
      <c r="P45" s="233"/>
      <c r="Q45" s="233"/>
    </row>
    <row r="46" spans="2:17" ht="15.75" hidden="1" customHeight="1" x14ac:dyDescent="0.25">
      <c r="L46" s="233"/>
      <c r="M46" s="233"/>
      <c r="N46" s="233"/>
      <c r="O46" s="233"/>
      <c r="P46" s="233"/>
      <c r="Q46" s="233"/>
    </row>
    <row r="47" spans="2:17" ht="15.75" hidden="1" customHeight="1" x14ac:dyDescent="0.25">
      <c r="L47" s="233"/>
      <c r="M47" s="233"/>
      <c r="N47" s="233"/>
      <c r="O47" s="233"/>
      <c r="P47" s="233"/>
      <c r="Q47" s="233"/>
    </row>
    <row r="48" spans="2:17" ht="15.75" hidden="1" customHeight="1" x14ac:dyDescent="0.25">
      <c r="L48" s="233"/>
      <c r="M48" s="233"/>
      <c r="N48" s="233"/>
      <c r="O48" s="233"/>
      <c r="P48" s="233"/>
      <c r="Q48" s="233"/>
    </row>
    <row r="49" spans="1:18" ht="15.75" hidden="1" x14ac:dyDescent="0.25">
      <c r="D49" s="253"/>
      <c r="E49" s="253"/>
      <c r="F49" s="253"/>
      <c r="G49" s="253"/>
      <c r="H49" s="253"/>
      <c r="I49" s="253"/>
      <c r="J49" s="253"/>
      <c r="L49" s="233"/>
      <c r="M49" s="233"/>
      <c r="N49" s="233"/>
      <c r="O49" s="233"/>
      <c r="P49" s="233"/>
      <c r="Q49" s="233"/>
    </row>
    <row r="50" spans="1:18" ht="15.75" hidden="1" x14ac:dyDescent="0.25">
      <c r="L50" s="233"/>
      <c r="M50" s="233"/>
      <c r="N50" s="233"/>
      <c r="O50" s="233"/>
      <c r="P50" s="233"/>
      <c r="Q50" s="233"/>
    </row>
    <row r="51" spans="1:18" ht="15.75" hidden="1" x14ac:dyDescent="0.25">
      <c r="A51" s="39"/>
      <c r="B51" s="40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/>
      <c r="Q51" s="43"/>
      <c r="R51" s="39"/>
    </row>
    <row r="52" spans="1:18" ht="15.75" hidden="1" x14ac:dyDescent="0.25">
      <c r="A52" s="39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2"/>
      <c r="Q52" s="43"/>
      <c r="R52" s="39"/>
    </row>
    <row r="53" spans="1:18" ht="15.75" hidden="1" x14ac:dyDescent="0.25">
      <c r="A53" s="39"/>
      <c r="B53" s="40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2"/>
      <c r="Q53" s="43"/>
      <c r="R53" s="39"/>
    </row>
    <row r="54" spans="1:18" ht="15.6" customHeight="1" x14ac:dyDescent="0.25"/>
    <row r="55" spans="1:18" ht="15.6" customHeight="1" x14ac:dyDescent="0.25"/>
    <row r="56" spans="1:18" ht="15.6" customHeight="1" x14ac:dyDescent="0.25"/>
    <row r="57" spans="1:18" ht="15.6" customHeight="1" x14ac:dyDescent="0.25"/>
    <row r="58" spans="1:18" ht="15.6" customHeight="1" x14ac:dyDescent="0.25"/>
    <row r="59" spans="1:18" ht="15.6" customHeight="1" x14ac:dyDescent="0.25"/>
    <row r="60" spans="1:18" ht="15.6" customHeight="1" x14ac:dyDescent="0.25"/>
    <row r="61" spans="1:18" ht="15.6" customHeight="1" x14ac:dyDescent="0.25"/>
    <row r="62" spans="1:18" ht="15.6" customHeight="1" x14ac:dyDescent="0.25"/>
    <row r="63" spans="1:18" ht="15.6" customHeight="1" x14ac:dyDescent="0.25"/>
    <row r="64" spans="1:18" ht="15.6" customHeight="1" x14ac:dyDescent="0.25"/>
    <row r="65" ht="15.6" customHeight="1" x14ac:dyDescent="0.25"/>
    <row r="66" ht="15.6" customHeight="1" x14ac:dyDescent="0.25"/>
    <row r="67" ht="15.6" customHeight="1" x14ac:dyDescent="0.25"/>
    <row r="68" ht="15.6" customHeight="1" x14ac:dyDescent="0.25"/>
    <row r="69" ht="15.6" customHeight="1" x14ac:dyDescent="0.25"/>
    <row r="70" ht="15.6" customHeight="1" x14ac:dyDescent="0.25"/>
    <row r="71" ht="15.6" customHeight="1" x14ac:dyDescent="0.25"/>
    <row r="72" ht="15.6" customHeight="1" x14ac:dyDescent="0.25"/>
    <row r="73" ht="15.6" customHeight="1" x14ac:dyDescent="0.25"/>
    <row r="74" ht="15.6" customHeight="1" x14ac:dyDescent="0.25"/>
    <row r="75" ht="15.6" customHeight="1" x14ac:dyDescent="0.25"/>
    <row r="76" ht="15.6" customHeight="1" x14ac:dyDescent="0.25"/>
    <row r="77" ht="15.6" customHeight="1" x14ac:dyDescent="0.25"/>
    <row r="78" ht="15.6" customHeight="1" x14ac:dyDescent="0.25"/>
    <row r="79" ht="15.6" customHeight="1" x14ac:dyDescent="0.25"/>
    <row r="80" ht="15.6" customHeight="1" x14ac:dyDescent="0.25"/>
    <row r="81" ht="15.6" customHeight="1" x14ac:dyDescent="0.25"/>
    <row r="82" ht="15.6" customHeight="1" x14ac:dyDescent="0.25"/>
    <row r="83" ht="15.6" customHeight="1" x14ac:dyDescent="0.25"/>
    <row r="84" ht="15.6" customHeight="1" x14ac:dyDescent="0.25"/>
    <row r="85" ht="15.6" customHeight="1" x14ac:dyDescent="0.25"/>
  </sheetData>
  <sheetProtection algorithmName="SHA-512" hashValue="EvOMC4L74ljfpVj7CCrn69yHUA5MBHQ59F2Kp8duY+GdNhwKThaK7Q94TSowt/M7VpobzUarmAVRG2WKSBz8Yg==" saltValue="q6R+zYZJnEqzer7E/zLAoA==" spinCount="100000" sheet="1" objects="1" scenarios="1"/>
  <mergeCells count="87">
    <mergeCell ref="F34:I34"/>
    <mergeCell ref="J34:K34"/>
    <mergeCell ref="B18:B31"/>
    <mergeCell ref="C18:Q18"/>
    <mergeCell ref="C19:G19"/>
    <mergeCell ref="M34:N34"/>
    <mergeCell ref="C27:O27"/>
    <mergeCell ref="C28:O28"/>
    <mergeCell ref="C29:O29"/>
    <mergeCell ref="C30:O30"/>
    <mergeCell ref="C31:O31"/>
    <mergeCell ref="F25:G25"/>
    <mergeCell ref="H25:J25"/>
    <mergeCell ref="L25:N25"/>
    <mergeCell ref="L44:Q50"/>
    <mergeCell ref="D49:J49"/>
    <mergeCell ref="H26:J26"/>
    <mergeCell ref="L26:N26"/>
    <mergeCell ref="P34:Q34"/>
    <mergeCell ref="F35:I35"/>
    <mergeCell ref="J35:K35"/>
    <mergeCell ref="M35:N35"/>
    <mergeCell ref="P35:Q35"/>
    <mergeCell ref="B36:O36"/>
    <mergeCell ref="C33:O33"/>
    <mergeCell ref="B34:B35"/>
    <mergeCell ref="C34:E35"/>
    <mergeCell ref="C32:O32"/>
    <mergeCell ref="C22:E22"/>
    <mergeCell ref="F22:G22"/>
    <mergeCell ref="H22:J22"/>
    <mergeCell ref="L22:N22"/>
    <mergeCell ref="C26:E26"/>
    <mergeCell ref="F26:G26"/>
    <mergeCell ref="C23:E23"/>
    <mergeCell ref="C24:E24"/>
    <mergeCell ref="F23:G23"/>
    <mergeCell ref="F24:G24"/>
    <mergeCell ref="H23:J23"/>
    <mergeCell ref="H24:J24"/>
    <mergeCell ref="L23:N23"/>
    <mergeCell ref="L24:N24"/>
    <mergeCell ref="C25:E25"/>
    <mergeCell ref="C21:E21"/>
    <mergeCell ref="F21:G21"/>
    <mergeCell ref="H21:J21"/>
    <mergeCell ref="L21:N21"/>
    <mergeCell ref="H19:K19"/>
    <mergeCell ref="L19:O19"/>
    <mergeCell ref="C11:O11"/>
    <mergeCell ref="C12:Q12"/>
    <mergeCell ref="C14:O14"/>
    <mergeCell ref="C20:E20"/>
    <mergeCell ref="F20:G20"/>
    <mergeCell ref="H20:J20"/>
    <mergeCell ref="L20:N20"/>
    <mergeCell ref="C16:O16"/>
    <mergeCell ref="C17:O17"/>
    <mergeCell ref="C9:O9"/>
    <mergeCell ref="C5:J5"/>
    <mergeCell ref="K5:L5"/>
    <mergeCell ref="M5:O5"/>
    <mergeCell ref="C10:O10"/>
    <mergeCell ref="C4:O4"/>
    <mergeCell ref="B1:Q1"/>
    <mergeCell ref="B2:Q2"/>
    <mergeCell ref="C3:D3"/>
    <mergeCell ref="P3:Q3"/>
    <mergeCell ref="E3:H3"/>
    <mergeCell ref="J3:K3"/>
    <mergeCell ref="M3:N3"/>
    <mergeCell ref="C13:O13"/>
    <mergeCell ref="B5:B8"/>
    <mergeCell ref="C15:O15"/>
    <mergeCell ref="O40:Q40"/>
    <mergeCell ref="O41:Q41"/>
    <mergeCell ref="P5:Q7"/>
    <mergeCell ref="C6:D7"/>
    <mergeCell ref="E6:G6"/>
    <mergeCell ref="H6:J6"/>
    <mergeCell ref="K6:L6"/>
    <mergeCell ref="M6:O6"/>
    <mergeCell ref="E7:G7"/>
    <mergeCell ref="H7:J7"/>
    <mergeCell ref="K7:L7"/>
    <mergeCell ref="M7:O7"/>
    <mergeCell ref="C8:O8"/>
  </mergeCells>
  <hyperlinks>
    <hyperlink ref="D40" r:id="rId1"/>
  </hyperlink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MASTER</vt:lpstr>
      <vt:lpstr>GA-55</vt:lpstr>
      <vt:lpstr>Other Deduction</vt:lpstr>
      <vt:lpstr>Tax Old Regime</vt:lpstr>
      <vt:lpstr>Tax New Regime</vt:lpstr>
      <vt:lpstr>'GA-55'!Print_Area</vt:lpstr>
      <vt:lpstr>MASTER!Print_Area</vt:lpstr>
      <vt:lpstr>'Other Deduction'!Print_Area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yogeshmaheshwari.com</dc:creator>
  <cp:lastModifiedBy>MYLAPTOP</cp:lastModifiedBy>
  <cp:lastPrinted>2025-10-30T17:03:49Z</cp:lastPrinted>
  <dcterms:created xsi:type="dcterms:W3CDTF">2013-12-06T08:14:36Z</dcterms:created>
  <dcterms:modified xsi:type="dcterms:W3CDTF">2025-10-30T17:06:40Z</dcterms:modified>
</cp:coreProperties>
</file>